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natics365-my.sharepoint.com/personal/jbauza_fanatics_com/Documents/Desktop/"/>
    </mc:Choice>
  </mc:AlternateContent>
  <xr:revisionPtr revIDLastSave="179" documentId="8_{85913983-C20B-4D4C-A0D0-EB49219E60AA}" xr6:coauthVersionLast="47" xr6:coauthVersionMax="47" xr10:uidLastSave="{59B56EB8-4670-4B93-9B00-C2116D720EB8}"/>
  <bookViews>
    <workbookView xWindow="-28920" yWindow="60" windowWidth="29040" windowHeight="15840" activeTab="4" xr2:uid="{00000000-000D-0000-FFFF-FFFF00000000}"/>
  </bookViews>
  <sheets>
    <sheet name="Crowdfunding" sheetId="1" r:id="rId1"/>
    <sheet name="Category Recap" sheetId="2" r:id="rId2"/>
    <sheet name="Subcategory Recap" sheetId="3" r:id="rId3"/>
    <sheet name="Date Created Outcome Recap" sheetId="4" r:id="rId4"/>
    <sheet name="Goal Analysis" sheetId="5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5" l="1"/>
  <c r="H12" i="5"/>
  <c r="H11" i="5"/>
  <c r="H10" i="5"/>
  <c r="H9" i="5"/>
  <c r="H8" i="5"/>
  <c r="H7" i="5"/>
  <c r="H6" i="5"/>
  <c r="H5" i="5"/>
  <c r="H4" i="5"/>
  <c r="H3" i="5"/>
  <c r="H2" i="5"/>
  <c r="G13" i="5"/>
  <c r="G12" i="5"/>
  <c r="G11" i="5"/>
  <c r="G10" i="5"/>
  <c r="G9" i="5"/>
  <c r="G8" i="5"/>
  <c r="G7" i="5"/>
  <c r="G6" i="5"/>
  <c r="G5" i="5"/>
  <c r="G4" i="5"/>
  <c r="G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<sst xmlns="http://schemas.openxmlformats.org/spreadsheetml/2006/main" count="8122" uniqueCount="2106">
  <si>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</si>
  <si>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</si>
  <si>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</si>
  <si>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</si>
  <si>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</si>
  <si>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</si>
  <si>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</si>
  <si>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</si>
  <si>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</si>
  <si>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</si>
  <si>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</si>
  <si>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</si>
  <si>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</si>
  <si>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</si>
  <si>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</si>
  <si>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</si>
  <si>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</si>
  <si>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</si>
  <si>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</si>
  <si>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</si>
  <si>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</si>
  <si>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</si>
  <si>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</si>
  <si>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</si>
  <si>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</si>
  <si>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</si>
  <si>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</si>
  <si>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</si>
  <si>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</si>
  <si>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</si>
  <si>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</si>
  <si>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</si>
  <si>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</si>
  <si>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</si>
  <si>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</si>
  <si>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</si>
  <si>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</si>
  <si>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</si>
  <si>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</si>
  <si>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</si>
  <si>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</si>
  <si>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</si>
  <si>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</si>
  <si>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</si>
  <si>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</si>
  <si>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</si>
  <si>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</si>
  <si>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</si>
  <si>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</si>
  <si>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</si>
  <si>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</si>
  <si>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</si>
  <si>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</si>
  <si>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</si>
  <si>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</si>
  <si>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</si>
  <si>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</si>
  <si>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</si>
  <si>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</si>
  <si>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</si>
  <si>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</si>
  <si>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</si>
  <si>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</si>
  <si>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</si>
  <si>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</si>
  <si>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</si>
  <si>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</si>
  <si>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</si>
  <si>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</si>
  <si>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</si>
  <si>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</si>
  <si>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</si>
  <si>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</si>
  <si>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</si>
  <si>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</si>
  <si>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</si>
  <si>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</si>
  <si>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</si>
  <si>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</si>
  <si>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</si>
  <si>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</si>
  <si>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</si>
  <si>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</si>
  <si>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</si>
  <si>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</si>
  <si>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</si>
  <si>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</si>
  <si>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</si>
  <si>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</si>
  <si>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</si>
  <si>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</si>
  <si>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</si>
  <si>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</si>
  <si>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</si>
  <si>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</si>
  <si>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</si>
  <si>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</si>
  <si>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</si>
  <si>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</si>
  <si>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</si>
  <si>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</si>
  <si>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</si>
  <si>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</si>
  <si>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</si>
  <si>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</si>
  <si>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</si>
  <si>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</si>
  <si>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</si>
  <si>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</si>
  <si>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</si>
  <si>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</si>
  <si>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</si>
  <si>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</si>
  <si>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</si>
  <si>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</si>
  <si>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</si>
  <si>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</si>
  <si>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</si>
  <si>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</si>
  <si>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</si>
  <si>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</si>
  <si>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</si>
  <si>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</si>
  <si>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</si>
  <si>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</si>
  <si>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</si>
  <si>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</si>
  <si>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</si>
  <si>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</si>
  <si>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</si>
  <si>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</si>
  <si>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</si>
  <si>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</si>
  <si>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</si>
  <si>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</si>
  <si>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</si>
  <si>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</si>
  <si>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</si>
  <si>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</si>
  <si>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</si>
  <si>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</si>
  <si>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</si>
  <si>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</si>
  <si>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</si>
  <si>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</si>
  <si>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</si>
  <si>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</si>
  <si>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</si>
  <si>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</si>
  <si>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</si>
  <si>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</si>
  <si>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</si>
  <si>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</si>
  <si>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</si>
  <si>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</si>
  <si>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</si>
  <si>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</si>
  <si>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</si>
  <si>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</si>
  <si>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</si>
  <si>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</si>
  <si>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</si>
  <si>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</si>
  <si>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</si>
  <si>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</si>
  <si>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</si>
  <si>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</si>
  <si>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</si>
  <si>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</si>
  <si>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</si>
  <si>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</si>
  <si>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</si>
  <si>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</si>
  <si>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</si>
  <si>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</si>
  <si>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</si>
  <si>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</si>
  <si>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</si>
  <si>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</si>
  <si>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</si>
  <si>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</si>
  <si>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</si>
  <si>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</si>
  <si>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</si>
  <si>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</si>
  <si>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</si>
  <si>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</si>
  <si>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</si>
  <si>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</si>
  <si>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</si>
  <si>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</si>
  <si>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</si>
  <si>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</si>
  <si>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</si>
  <si>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</si>
  <si>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</si>
  <si>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</si>
  <si>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</si>
  <si>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</si>
  <si>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</si>
  <si>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</si>
  <si>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</si>
  <si>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</si>
  <si>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</si>
  <si>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</si>
  <si>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</si>
  <si>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</si>
  <si>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</si>
  <si>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</si>
  <si>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</si>
  <si>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</si>
  <si>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</si>
  <si>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</si>
  <si>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</si>
  <si>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</si>
  <si>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</si>
  <si>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</si>
  <si>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</si>
  <si>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</si>
  <si>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</si>
  <si>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</si>
  <si>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</si>
  <si>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</si>
  <si>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</si>
  <si>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</si>
  <si>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</si>
  <si>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</si>
  <si>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</si>
  <si>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</si>
  <si>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</si>
  <si>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</si>
  <si>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</si>
  <si>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</si>
  <si>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</si>
  <si>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</si>
  <si>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</si>
  <si>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</si>
  <si>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</si>
  <si>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</si>
  <si>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</si>
  <si>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</si>
  <si>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</si>
  <si>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</si>
  <si>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</si>
  <si>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</si>
  <si>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</si>
  <si>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</si>
  <si>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</si>
  <si>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</si>
  <si>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</si>
  <si>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</si>
  <si>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</si>
  <si>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</si>
  <si>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</si>
  <si>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</si>
  <si>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</si>
  <si>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</si>
  <si>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</si>
  <si>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</si>
  <si>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</si>
  <si>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</si>
  <si>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</si>
  <si>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</si>
  <si>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</si>
  <si>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</si>
  <si>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</si>
  <si>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</si>
  <si>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</si>
  <si>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</si>
  <si>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</si>
  <si>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</si>
  <si>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</si>
  <si>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</si>
  <si>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</si>
  <si>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</si>
  <si>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</si>
  <si>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</si>
  <si>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</si>
  <si>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</si>
  <si>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</si>
  <si>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</si>
  <si>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</si>
  <si>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</si>
  <si>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</si>
  <si>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</si>
  <si>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</si>
  <si>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</si>
  <si>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</si>
  <si>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</si>
  <si>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</si>
  <si>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</si>
  <si>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</si>
  <si>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</si>
  <si>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</si>
  <si>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</si>
  <si>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</si>
  <si>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</si>
  <si>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</si>
  <si>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</si>
  <si>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</si>
  <si>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</si>
  <si>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</si>
  <si>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</si>
  <si>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</si>
  <si>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</si>
  <si>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</si>
  <si>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</si>
  <si>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</si>
  <si>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</si>
  <si>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</si>
  <si>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</si>
  <si>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</si>
  <si>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</si>
  <si>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</si>
  <si>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</si>
  <si>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</si>
  <si>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</si>
  <si>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</si>
  <si>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</si>
  <si>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</si>
  <si>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</si>
  <si>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</si>
  <si>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</si>
  <si>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</si>
  <si>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</si>
  <si>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</si>
  <si>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</si>
  <si>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</si>
  <si>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</si>
  <si>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</si>
  <si>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</si>
  <si>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</si>
  <si>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</si>
  <si>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</si>
  <si>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</si>
  <si>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</si>
  <si>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</si>
  <si>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</si>
  <si>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</si>
  <si>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</si>
  <si>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</si>
  <si>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</si>
  <si>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</si>
  <si>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</si>
  <si>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</si>
  <si>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</si>
  <si>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</si>
  <si>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</si>
  <si>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</si>
  <si>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</si>
  <si>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</si>
  <si>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</si>
  <si>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</si>
  <si>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</si>
  <si>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</si>
  <si>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</si>
  <si>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</si>
  <si>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</si>
  <si>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</si>
  <si>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</si>
  <si>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</si>
  <si>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</si>
  <si>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</si>
  <si>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</si>
  <si>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</si>
  <si>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</si>
  <si>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</si>
  <si>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</si>
  <si>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</si>
  <si>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</si>
  <si>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</si>
  <si>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</si>
  <si>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</si>
  <si>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</si>
  <si>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</si>
  <si>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</si>
  <si>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</si>
  <si>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</si>
  <si>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</si>
  <si>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</si>
  <si>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</si>
  <si>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</si>
  <si>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</si>
  <si>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</si>
  <si>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</si>
  <si>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</si>
  <si>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</si>
  <si>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</si>
  <si>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</si>
  <si>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</si>
  <si>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</si>
  <si>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</si>
  <si>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</si>
  <si>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</si>
  <si>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</si>
  <si>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</si>
  <si>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</si>
  <si>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</si>
  <si>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</si>
  <si>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</si>
  <si>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</si>
  <si>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</si>
  <si>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</si>
  <si>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</si>
  <si>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</si>
  <si>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</si>
  <si>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</si>
  <si>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</si>
  <si>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</si>
  <si>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</si>
  <si>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</si>
  <si>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</si>
  <si>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</si>
  <si>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</si>
  <si>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</si>
  <si>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</si>
  <si>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</si>
  <si>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</si>
  <si>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</si>
  <si>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</si>
  <si>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</si>
  <si>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</si>
  <si>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</si>
  <si>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</si>
  <si>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</si>
  <si>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</si>
  <si>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</si>
  <si>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</si>
  <si>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</si>
  <si>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</si>
  <si>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</si>
  <si>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</si>
  <si>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</si>
  <si>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</si>
  <si>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</si>
  <si>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</si>
  <si>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</si>
  <si>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</si>
  <si>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</si>
  <si>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</si>
  <si>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</si>
  <si>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</si>
  <si>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</si>
  <si>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</si>
  <si>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</si>
  <si>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</si>
  <si>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</si>
  <si>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</si>
  <si>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</si>
  <si>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</si>
  <si>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</si>
  <si>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</si>
  <si>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</si>
  <si>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</si>
  <si>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</si>
  <si>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</si>
  <si>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</si>
  <si>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</si>
  <si>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</si>
  <si>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</si>
  <si>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</si>
  <si>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</si>
  <si>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</si>
  <si>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</si>
  <si>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</si>
  <si>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</si>
  <si>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</si>
  <si>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</si>
  <si>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</si>
  <si>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</si>
  <si>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</si>
  <si>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</si>
  <si>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</si>
  <si>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</si>
  <si>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</si>
  <si>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</si>
  <si>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</si>
  <si>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</si>
  <si>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</si>
  <si>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</si>
  <si>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</si>
  <si>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</si>
  <si>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</si>
  <si>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</si>
  <si>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</si>
  <si>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</si>
  <si>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</si>
  <si>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</si>
  <si>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</si>
  <si>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</si>
  <si>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</si>
  <si>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</si>
  <si>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</si>
  <si>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</si>
  <si>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</si>
  <si>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</si>
  <si>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</si>
  <si>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</si>
  <si>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</si>
  <si>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</si>
  <si>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</si>
  <si>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</si>
  <si>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</si>
  <si>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</si>
  <si>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</si>
  <si>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</si>
  <si>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</si>
  <si>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</si>
  <si>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</si>
  <si>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</si>
  <si>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</si>
  <si>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</si>
  <si>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</si>
  <si>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</si>
  <si>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</si>
  <si>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</si>
  <si>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</si>
  <si>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</si>
  <si>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</si>
  <si>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</si>
  <si>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</si>
  <si>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</si>
  <si>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</si>
  <si>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</si>
  <si>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</si>
  <si>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</si>
  <si>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</si>
  <si>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</si>
  <si>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</si>
  <si>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</si>
  <si>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</si>
  <si>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</si>
  <si>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</si>
  <si>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</si>
  <si>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</si>
  <si>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</si>
  <si>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</si>
  <si>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</si>
  <si>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</si>
  <si>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</si>
  <si>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</si>
  <si>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</si>
  <si>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</si>
  <si>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</si>
  <si>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</si>
  <si>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</si>
  <si>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</si>
  <si>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</si>
  <si>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</si>
  <si>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</si>
  <si>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</si>
  <si>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</si>
  <si>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</si>
  <si>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</si>
  <si>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</si>
  <si>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</si>
  <si>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</si>
  <si>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</si>
  <si>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</si>
  <si>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</si>
  <si>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</si>
  <si>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</si>
  <si>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</si>
  <si>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</si>
  <si>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</si>
  <si>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</si>
  <si>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</si>
  <si>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</si>
  <si>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</si>
  <si>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</si>
  <si>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</si>
  <si>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</si>
  <si>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</si>
  <si>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</si>
  <si>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</si>
  <si>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</si>
  <si>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</si>
  <si>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</si>
  <si>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</si>
  <si>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</si>
  <si>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</si>
  <si>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</si>
  <si>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</si>
  <si>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</si>
  <si>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</si>
  <si>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</si>
  <si>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</si>
  <si>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</si>
  <si>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</si>
  <si>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</si>
  <si>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</si>
  <si>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</si>
  <si>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</si>
  <si>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</si>
  <si>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</si>
  <si>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</si>
  <si>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</si>
  <si>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</si>
  <si>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</si>
  <si>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</si>
  <si>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</si>
  <si>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</si>
  <si>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</si>
  <si>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</si>
  <si>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</si>
  <si>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</si>
  <si>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</si>
  <si>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</si>
  <si>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</si>
  <si>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</si>
  <si>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</si>
  <si>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</si>
  <si>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</si>
  <si>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</si>
  <si>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</si>
  <si>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</si>
  <si>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</si>
  <si>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</si>
  <si>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</si>
  <si>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</si>
  <si>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</si>
  <si>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</si>
  <si>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</si>
  <si>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</si>
  <si>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</si>
  <si>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</si>
  <si>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</si>
  <si>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</si>
  <si>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</si>
  <si>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</si>
  <si>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</si>
  <si>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</si>
  <si>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</si>
  <si>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</si>
  <si>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</si>
  <si>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</si>
  <si>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</si>
  <si>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</si>
  <si>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</si>
  <si>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</si>
  <si>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</si>
  <si>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</si>
  <si>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</si>
  <si>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</si>
  <si>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</si>
  <si>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</si>
  <si>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</si>
  <si>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</si>
  <si>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</si>
  <si>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</si>
  <si>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</si>
  <si>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</si>
  <si>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</si>
  <si>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</si>
  <si>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</si>
  <si>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</si>
  <si>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</si>
  <si>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</si>
  <si>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</si>
  <si>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</si>
  <si>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</si>
  <si>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</si>
  <si>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</si>
  <si>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</si>
  <si>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</si>
  <si>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</si>
  <si>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</si>
  <si>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</si>
  <si>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</si>
  <si>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</si>
  <si>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</si>
  <si>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</si>
  <si>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</si>
  <si>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</si>
  <si>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</si>
  <si>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</si>
  <si>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</si>
  <si>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</si>
  <si>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</si>
  <si>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</si>
  <si>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</si>
  <si>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</si>
  <si>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</si>
  <si>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</si>
  <si>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</si>
  <si>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</si>
  <si>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</si>
  <si>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</si>
  <si>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</si>
  <si>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</si>
  <si>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</si>
  <si>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</si>
  <si>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</si>
  <si>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</si>
  <si>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</si>
  <si>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</si>
  <si>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</si>
  <si>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</si>
  <si>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</si>
  <si>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</si>
  <si>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</si>
  <si>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</si>
  <si>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</si>
  <si>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</si>
  <si>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</si>
  <si>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</si>
  <si>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</si>
  <si>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</si>
  <si>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</si>
  <si>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</si>
  <si>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</si>
  <si>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</si>
  <si>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</si>
  <si>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</si>
  <si>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</si>
  <si>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</si>
  <si>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</si>
  <si>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</si>
  <si>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</si>
  <si>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</si>
  <si>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</si>
  <si>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</si>
  <si>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</si>
  <si>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</si>
  <si>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</si>
  <si>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</si>
  <si>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</si>
  <si>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</si>
  <si>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</si>
  <si>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</si>
  <si>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</si>
  <si>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</si>
  <si>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</si>
  <si>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</si>
  <si>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</si>
  <si>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</si>
  <si>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</si>
  <si>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</si>
  <si>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</si>
  <si>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</si>
  <si>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</si>
  <si>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</si>
  <si>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</si>
  <si>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</si>
  <si>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</si>
  <si>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</si>
  <si>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</si>
  <si>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</si>
  <si>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</si>
  <si>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</si>
  <si>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</si>
  <si>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</si>
  <si>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</si>
  <si>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</si>
  <si>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</si>
  <si>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</si>
  <si>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</si>
  <si>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</si>
  <si>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</si>
  <si>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</si>
  <si>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</si>
  <si>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</si>
  <si>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</si>
  <si>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</si>
  <si>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</si>
  <si>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</si>
  <si>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</si>
  <si>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</si>
  <si>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</si>
  <si>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</si>
  <si>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</si>
  <si>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</si>
  <si>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</si>
  <si>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</si>
  <si>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</si>
  <si>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</si>
  <si>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</si>
  <si>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</si>
  <si>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</si>
  <si>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</si>
  <si>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</si>
  <si>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</si>
  <si>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</si>
  <si>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</si>
  <si>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</si>
  <si>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</si>
  <si>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</si>
  <si>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</si>
  <si>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</si>
  <si>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</si>
  <si>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</si>
  <si>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</si>
  <si>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</si>
  <si>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</si>
  <si>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</si>
  <si>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</si>
  <si>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</si>
  <si>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</si>
  <si>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</si>
  <si>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</si>
  <si>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</si>
  <si>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</si>
  <si>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</si>
  <si>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</si>
  <si>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</si>
  <si>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</si>
  <si>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</si>
  <si>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</si>
  <si>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</si>
  <si>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</si>
  <si>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</si>
  <si>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</si>
  <si>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</si>
  <si>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</si>
  <si>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</si>
  <si>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</si>
  <si>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</si>
  <si>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</si>
  <si>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</si>
  <si>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</si>
  <si>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</si>
  <si>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</si>
  <si>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</si>
  <si>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</si>
  <si>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</si>
  <si>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</si>
  <si>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</si>
  <si>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</si>
  <si>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</si>
  <si>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</si>
  <si>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</si>
  <si>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</si>
  <si>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</si>
  <si>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</si>
  <si>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</si>
  <si>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</si>
  <si>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</si>
  <si>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</si>
  <si>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</si>
  <si>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</si>
  <si>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</si>
  <si>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</si>
  <si>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</si>
  <si>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</si>
  <si>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</si>
  <si>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</si>
  <si>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</si>
  <si>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</si>
  <si>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</si>
  <si>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</si>
  <si>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</si>
  <si>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</si>
  <si>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</si>
  <si>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</si>
  <si>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</si>
  <si>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</si>
  <si>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</si>
  <si>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</si>
  <si>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</si>
  <si>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</si>
  <si>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</si>
  <si>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</si>
  <si>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</si>
  <si>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</si>
  <si>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</si>
  <si>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</si>
  <si>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</si>
  <si>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</si>
  <si>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</si>
  <si>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</si>
  <si>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</si>
  <si>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</si>
  <si>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</si>
  <si>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</si>
  <si>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</si>
  <si>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</si>
  <si>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</si>
  <si>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</si>
  <si>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</si>
  <si>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</si>
  <si>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</si>
  <si>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</si>
  <si>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</si>
  <si>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</si>
  <si>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</si>
  <si>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</si>
  <si>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</si>
  <si>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</si>
  <si>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</si>
  <si>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</si>
  <si>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</si>
  <si>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</si>
  <si>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</si>
  <si>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</si>
  <si>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</si>
  <si>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</si>
  <si>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</si>
  <si>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</si>
  <si>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</si>
  <si>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</si>
  <si>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</si>
  <si>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</si>
  <si>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</si>
  <si>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</si>
  <si>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</si>
  <si>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</si>
  <si>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</si>
  <si>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</si>
  <si>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</si>
  <si>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</si>
  <si>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</si>
  <si>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</si>
  <si>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</si>
  <si>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</si>
  <si>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</si>
  <si>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</si>
  <si>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</si>
  <si>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</si>
  <si>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</si>
  <si>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</si>
  <si>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</si>
  <si>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</si>
  <si>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</si>
  <si>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</si>
  <si>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</si>
  <si>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</si>
  <si>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</si>
  <si>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</si>
  <si>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</si>
  <si>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</si>
  <si>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</si>
  <si>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</si>
  <si>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</si>
  <si>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</si>
  <si>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</si>
  <si>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</si>
  <si>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</si>
  <si>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</si>
  <si>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</si>
  <si>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</si>
  <si>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</si>
  <si>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</si>
  <si>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</si>
  <si>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</si>
  <si>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</si>
  <si>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</si>
  <si>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</si>
  <si>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</si>
  <si>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</si>
  <si>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</si>
  <si>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</si>
  <si>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</si>
  <si>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</si>
  <si>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</si>
  <si>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</si>
  <si>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</si>
  <si>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</si>
  <si>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</si>
  <si>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</si>
  <si>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</si>
  <si>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</si>
  <si>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</si>
  <si>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</si>
  <si>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</si>
  <si>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</si>
  <si>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</si>
  <si>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</si>
  <si>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</si>
  <si>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</si>
  <si>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</si>
  <si>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</si>
  <si>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</si>
  <si>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</si>
  <si>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</si>
  <si>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</si>
  <si>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</si>
  <si>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</si>
  <si>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</si>
  <si>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</si>
  <si>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</si>
  <si>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</si>
  <si>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</si>
  <si>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</si>
  <si>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</si>
  <si>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</si>
  <si>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</si>
  <si>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</si>
  <si>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</si>
  <si>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</si>
  <si>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</si>
  <si>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</si>
  <si>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</si>
  <si>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</si>
  <si>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</si>
  <si>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</si>
  <si>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</si>
  <si>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</si>
  <si>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</si>
  <si>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</si>
  <si>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</si>
  <si>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</si>
  <si>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</si>
  <si>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</si>
  <si>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</si>
  <si>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</si>
  <si>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</si>
  <si>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</si>
  <si>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</si>
  <si>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</si>
  <si>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</si>
  <si>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</si>
  <si>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</si>
  <si>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</si>
  <si>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</si>
  <si>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</si>
  <si>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</si>
  <si>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</si>
  <si>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</si>
  <si>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</si>
  <si>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</si>
  <si>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</si>
  <si>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</si>
  <si>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</si>
  <si>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</si>
  <si>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</si>
  <si>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</si>
  <si>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</si>
  <si>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</si>
  <si>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</si>
  <si>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</si>
  <si>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</si>
  <si>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</si>
  <si>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</si>
  <si>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</si>
  <si>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</si>
  <si>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</si>
  <si>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</si>
  <si>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</si>
  <si>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</si>
  <si>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</si>
  <si>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</si>
  <si>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</si>
  <si>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</si>
  <si>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</si>
  <si>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</si>
  <si>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</si>
  <si>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</si>
  <si>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</si>
  <si>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</si>
  <si>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</si>
  <si>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</si>
  <si>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</si>
  <si>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</si>
  <si>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</si>
  <si>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</si>
  <si>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</si>
  <si>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</si>
  <si>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</si>
  <si>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</si>
  <si>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</si>
  <si>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</si>
  <si>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</si>
  <si>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</si>
  <si>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</si>
  <si>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</si>
  <si>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</si>
  <si>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</si>
  <si>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</si>
  <si>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</si>
  <si>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</si>
  <si>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</si>
  <si>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</si>
  <si>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</si>
  <si>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</si>
  <si>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</si>
  <si>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</si>
  <si>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</si>
  <si>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</si>
  <si>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</si>
  <si>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</si>
  <si>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</si>
  <si>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</si>
  <si>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</si>
  <si>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</si>
  <si>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</si>
  <si>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</si>
  <si>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</si>
  <si>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</si>
  <si>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</si>
  <si>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</si>
  <si>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</si>
  <si>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</si>
  <si>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</si>
  <si>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</si>
  <si>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</si>
  <si>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</si>
  <si>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</si>
  <si>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</si>
  <si>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</si>
  <si>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</si>
  <si>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</si>
  <si>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</si>
  <si>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</si>
  <si>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</si>
  <si>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</si>
  <si>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</si>
  <si>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</si>
  <si>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</si>
  <si>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</si>
  <si>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</si>
  <si>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</si>
  <si>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</si>
  <si>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</si>
  <si>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</si>
  <si>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</si>
  <si>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</si>
  <si>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</si>
  <si>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</si>
  <si>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</si>
  <si>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</si>
  <si>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</si>
  <si>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</si>
  <si>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</si>
  <si>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</si>
  <si>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</si>
  <si>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</si>
  <si>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</si>
  <si>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</si>
  <si>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</si>
  <si>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</si>
  <si>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</si>
  <si>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</si>
  <si>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</si>
  <si>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</si>
  <si>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</si>
  <si>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</si>
  <si>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</si>
  <si>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</si>
  <si>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</si>
  <si>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</si>
  <si>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</si>
  <si>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</si>
  <si>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</si>
  <si>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</si>
  <si>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</si>
  <si>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</si>
  <si>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</si>
  <si>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</si>
  <si>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</si>
  <si>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</si>
  <si>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</si>
  <si>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</si>
  <si>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</si>
  <si>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</si>
  <si>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</si>
  <si>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</si>
  <si>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</si>
  <si>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</si>
  <si>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</si>
  <si>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</si>
  <si>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</si>
  <si>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</si>
  <si>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</si>
  <si>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</si>
  <si>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</si>
  <si>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</si>
  <si>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</si>
  <si>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</si>
  <si>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</si>
  <si>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</si>
  <si>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</si>
  <si>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</si>
  <si>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</si>
  <si>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</si>
  <si>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</si>
  <si>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</si>
  <si>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</si>
  <si>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</si>
  <si>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</si>
  <si>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</si>
  <si>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</si>
  <si>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</si>
  <si>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</si>
  <si>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</si>
  <si>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</si>
  <si>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</si>
  <si>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</si>
  <si>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</si>
  <si>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</si>
  <si>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</si>
  <si>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</si>
  <si>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</si>
  <si>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</si>
  <si>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</si>
  <si>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</si>
  <si>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</si>
  <si>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</si>
  <si>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</si>
  <si>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</si>
  <si>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</si>
  <si>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</si>
  <si>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</si>
  <si>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</si>
  <si>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</si>
  <si>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</si>
  <si>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</si>
  <si>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</si>
  <si>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</si>
  <si>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</si>
  <si>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</si>
  <si>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</si>
  <si>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</si>
  <si>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</si>
  <si>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</si>
  <si>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</si>
  <si>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</si>
  <si>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</si>
  <si>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</si>
  <si>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</si>
  <si>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</si>
  <si>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</si>
  <si>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</si>
  <si>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</si>
  <si>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</si>
  <si>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</si>
  <si>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</si>
  <si>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</si>
  <si>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</si>
  <si>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</si>
  <si>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</si>
  <si>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</si>
  <si>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</si>
  <si>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</si>
  <si>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</si>
  <si>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</si>
  <si>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</si>
  <si>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</si>
  <si>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</si>
  <si>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</si>
  <si>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</si>
  <si>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</si>
  <si>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</si>
  <si>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</si>
  <si>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</si>
  <si>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</si>
  <si>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</si>
  <si>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</si>
  <si>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</si>
  <si>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</si>
  <si>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</si>
  <si>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</si>
  <si>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</si>
  <si>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</si>
  <si>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</si>
  <si>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</si>
  <si>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</si>
  <si>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</si>
  <si>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</si>
  <si>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</si>
  <si>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</si>
  <si>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</si>
  <si>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</si>
  <si>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</si>
  <si>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</si>
  <si>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</si>
  <si>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</si>
  <si>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</si>
  <si>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</si>
  <si>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</si>
  <si>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</si>
  <si>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</si>
  <si>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</si>
  <si>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</si>
  <si>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</si>
  <si>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</si>
  <si>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</si>
  <si>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</si>
  <si>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</si>
  <si>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</si>
  <si>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</si>
  <si>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</si>
  <si>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</si>
  <si>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</si>
  <si>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</si>
  <si>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</si>
  <si>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</si>
  <si>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</si>
  <si>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</si>
  <si>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</si>
  <si>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</si>
  <si>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</si>
  <si>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</si>
  <si>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</si>
  <si>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</si>
  <si>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</si>
  <si>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</si>
  <si>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</si>
  <si>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</si>
  <si>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</si>
  <si>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</si>
  <si>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</si>
  <si>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</si>
  <si>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</si>
  <si>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</si>
  <si>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</si>
  <si>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</si>
  <si>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</si>
  <si>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</si>
  <si>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</si>
  <si>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</si>
  <si>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</si>
  <si>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</si>
  <si>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</si>
  <si>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</si>
  <si>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</si>
  <si>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</si>
  <si>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</si>
  <si>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</si>
  <si>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</si>
  <si>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</si>
  <si>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</si>
  <si>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</si>
  <si>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</si>
  <si>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</si>
  <si>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</si>
  <si>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</si>
  <si>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</si>
  <si>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</si>
  <si>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</si>
  <si>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</si>
  <si>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</si>
  <si>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</si>
  <si>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</si>
  <si>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</si>
  <si>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</si>
  <si>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</si>
  <si>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</si>
  <si>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</si>
  <si>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</si>
  <si>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</si>
  <si>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</si>
  <si>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</si>
  <si>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</si>
  <si>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</si>
  <si>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</si>
  <si>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</si>
  <si>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</si>
  <si>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</si>
  <si>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</si>
  <si>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</si>
  <si>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</si>
  <si>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</si>
  <si>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</si>
  <si>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</si>
  <si>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</si>
  <si>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</si>
  <si>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</si>
  <si>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</si>
  <si>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</si>
  <si>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</si>
  <si>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</si>
  <si>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</si>
  <si>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</si>
  <si>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</si>
  <si>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</si>
  <si>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</si>
  <si>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</si>
  <si>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</si>
  <si>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</si>
  <si>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</si>
  <si>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</si>
  <si>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</si>
  <si>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</si>
  <si>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</si>
  <si>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</si>
  <si>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</si>
  <si>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</si>
  <si>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</si>
  <si>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</si>
  <si>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</si>
  <si>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</si>
  <si>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</si>
  <si>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</si>
  <si>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</si>
  <si>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</si>
  <si>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</si>
  <si>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</si>
  <si>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</si>
  <si>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</si>
  <si>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</si>
  <si>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</si>
  <si>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</si>
  <si>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</si>
  <si>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</si>
  <si>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</si>
  <si>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</si>
  <si>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</si>
  <si>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</si>
  <si>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</si>
  <si>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</si>
  <si>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</si>
  <si>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</si>
  <si>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</si>
  <si>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</si>
  <si>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</si>
  <si>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</si>
  <si>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</si>
  <si>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</si>
  <si>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</si>
  <si>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</si>
  <si>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</si>
  <si>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</si>
  <si>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</si>
  <si>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</si>
  <si>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</si>
  <si>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</si>
  <si>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</si>
  <si>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</si>
  <si>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</si>
  <si>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</si>
  <si>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</si>
  <si>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</si>
  <si>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</si>
  <si>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</si>
  <si>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</si>
  <si>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</si>
  <si>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</si>
  <si>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</si>
  <si>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</si>
  <si>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</si>
  <si>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</si>
  <si>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</si>
  <si>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</si>
  <si>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</si>
  <si>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</si>
  <si>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</si>
  <si>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</si>
  <si>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</si>
  <si>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</si>
  <si>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</si>
  <si>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</si>
  <si>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</si>
  <si>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</si>
  <si>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</si>
  <si>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</si>
  <si>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</si>
  <si>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</si>
  <si>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</si>
  <si>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</si>
  <si>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</si>
  <si>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</si>
  <si>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</si>
  <si>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</si>
  <si>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</si>
  <si>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</si>
  <si>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</si>
  <si>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</si>
  <si>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</si>
  <si>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</si>
  <si>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</si>
  <si>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</si>
  <si>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</si>
  <si>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</si>
  <si>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</si>
  <si>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</si>
  <si>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</si>
  <si>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</si>
  <si>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</si>
  <si>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</si>
  <si>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</si>
  <si>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</si>
  <si>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</si>
  <si>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</si>
  <si>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</si>
  <si>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</si>
  <si>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</si>
  <si>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</si>
  <si>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</si>
  <si>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</si>
  <si>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</si>
  <si>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</si>
  <si>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</si>
  <si>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</si>
  <si>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</si>
  <si>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</si>
  <si>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</si>
  <si>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</si>
  <si>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</si>
  <si>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</si>
  <si>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</si>
  <si>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</si>
  <si>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</si>
  <si>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</si>
  <si>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</si>
  <si>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</si>
  <si>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</si>
  <si>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</si>
  <si>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</si>
  <si>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</si>
  <si>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</si>
  <si>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</si>
  <si>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</si>
  <si>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</si>
  <si>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</si>
  <si>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</si>
  <si>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</si>
  <si>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</si>
  <si>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</si>
  <si>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</si>
  <si>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</si>
  <si>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</si>
  <si>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</si>
  <si>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</si>
  <si>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</si>
  <si>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</si>
  <si>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</si>
  <si>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</si>
  <si>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</si>
  <si>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</si>
  <si>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</si>
  <si>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</si>
  <si>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</si>
  <si>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</si>
  <si>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</si>
  <si>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</si>
  <si>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</si>
  <si>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</si>
  <si>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</si>
  <si>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</si>
  <si>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</si>
  <si>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</si>
  <si>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</si>
  <si>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</si>
  <si>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</si>
  <si>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</si>
  <si>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</si>
  <si>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</si>
  <si>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</si>
  <si>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</si>
  <si>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</si>
  <si>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</si>
  <si>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</si>
  <si>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</si>
  <si>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</si>
  <si>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</si>
  <si>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</si>
  <si>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</si>
  <si>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</si>
  <si>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</si>
  <si>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</si>
  <si>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</si>
  <si>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</si>
  <si>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</si>
  <si>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</si>
  <si>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</si>
  <si>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</si>
  <si>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</si>
  <si>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</si>
  <si>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</si>
  <si>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</si>
  <si>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</si>
  <si>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</si>
  <si>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</si>
  <si>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</si>
  <si>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</si>
  <si>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</si>
  <si>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</si>
  <si>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</si>
  <si>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</si>
  <si>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</si>
  <si>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</si>
  <si>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</si>
  <si>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</si>
  <si>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</si>
  <si>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</si>
  <si>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</si>
  <si>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</si>
  <si>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</si>
  <si>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</si>
  <si>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</si>
  <si>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</si>
  <si>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</si>
  <si>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</si>
  <si>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</si>
  <si>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</si>
  <si>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</si>
  <si>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</si>
  <si>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</si>
  <si>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</si>
  <si>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</si>
  <si>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</si>
  <si>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</si>
  <si>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</si>
  <si>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</si>
  <si>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</si>
  <si>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</si>
  <si>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</si>
  <si>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</si>
  <si>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</si>
  <si>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</si>
  <si>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</si>
  <si>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</si>
  <si>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</si>
  <si>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</si>
  <si>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</si>
  <si>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</si>
  <si>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</si>
  <si>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</si>
  <si>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</si>
  <si>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</si>
  <si>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</si>
  <si>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</si>
  <si>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</si>
  <si>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</si>
  <si>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</si>
  <si>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</si>
  <si>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</si>
  <si>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</si>
  <si>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</si>
  <si>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</si>
  <si>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</si>
  <si>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</si>
  <si>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</si>
  <si>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</si>
  <si>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</si>
  <si>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</si>
  <si>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</si>
  <si>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</si>
  <si>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</si>
  <si>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</si>
  <si>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</si>
  <si>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</si>
  <si>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</si>
  <si>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</si>
  <si>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</si>
  <si>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</si>
  <si>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</si>
  <si>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</si>
  <si>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</si>
  <si>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</si>
  <si>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</si>
  <si>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</si>
  <si>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</si>
  <si>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</si>
  <si>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</si>
  <si>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</si>
  <si>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</si>
  <si>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</si>
  <si>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</si>
  <si>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</si>
  <si>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</si>
  <si>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</si>
  <si>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</si>
  <si>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</si>
  <si>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</si>
  <si>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</si>
  <si>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</si>
  <si>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</si>
  <si>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</si>
  <si>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</si>
  <si>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</si>
  <si>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</si>
  <si>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</si>
  <si>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</si>
  <si>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</si>
  <si>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</si>
  <si>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</si>
  <si>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</si>
  <si>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</si>
  <si>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</si>
  <si>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</si>
  <si>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</si>
  <si>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</si>
  <si>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</si>
  <si>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</si>
  <si>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</si>
  <si>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</si>
  <si>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</si>
  <si>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</si>
  <si>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</si>
  <si>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</si>
  <si>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</si>
  <si>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</si>
  <si>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</si>
  <si>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</si>
  <si>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</si>
  <si>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</si>
  <si>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</si>
  <si>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</si>
  <si>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</si>
  <si>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</si>
  <si>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</si>
  <si>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</si>
  <si>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</si>
  <si>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</si>
  <si>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</si>
  <si>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</si>
  <si>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</si>
  <si>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</si>
  <si>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</si>
  <si>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</si>
  <si>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</si>
  <si>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</si>
  <si>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</si>
  <si>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</si>
  <si>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</si>
  <si>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</si>
  <si>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</si>
  <si>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</si>
  <si>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</si>
  <si>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</si>
  <si>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</si>
  <si>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</si>
  <si>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</si>
  <si>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</si>
  <si>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</si>
  <si>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</si>
  <si>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</si>
  <si>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</si>
  <si>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</si>
  <si>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</si>
  <si>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</si>
  <si>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</si>
  <si>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</si>
  <si>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</si>
  <si>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</si>
  <si>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</si>
  <si>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</si>
  <si>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</si>
  <si>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</si>
  <si>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</si>
  <si>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</si>
  <si>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</si>
  <si>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</si>
  <si>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</si>
  <si>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</si>
  <si>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</si>
  <si>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</si>
  <si>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</si>
  <si>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</si>
  <si>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</si>
  <si>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</si>
  <si>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</si>
  <si>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</si>
  <si>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</si>
  <si>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</si>
  <si>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</si>
  <si>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</si>
  <si>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</si>
  <si>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</si>
  <si>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</si>
  <si>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</si>
  <si>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</si>
  <si>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</si>
  <si>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</si>
  <si>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</si>
  <si>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</si>
  <si>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</si>
  <si>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</si>
  <si>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</si>
  <si>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</si>
  <si>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</si>
  <si>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</si>
  <si>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</si>
  <si>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</si>
  <si>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</si>
  <si>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</si>
  <si>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</si>
  <si>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</si>
  <si>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</si>
  <si>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</si>
  <si>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</si>
  <si>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</si>
  <si>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</si>
  <si>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</si>
  <si>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</si>
  <si>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</si>
  <si>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</si>
  <si>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</si>
  <si>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</si>
  <si>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</si>
  <si>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</si>
  <si>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</si>
  <si>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</si>
  <si>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</si>
  <si>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</si>
  <si>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</si>
  <si>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</si>
  <si>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</si>
  <si>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</si>
  <si>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</si>
  <si>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</si>
  <si>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</si>
  <si>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</si>
  <si>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</si>
  <si>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</si>
  <si>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</si>
  <si>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</si>
  <si>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</si>
  <si>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</si>
  <si>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</si>
  <si>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</si>
  <si>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</si>
  <si>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</si>
  <si>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</si>
  <si>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</si>
  <si>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</si>
  <si>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</si>
  <si>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</si>
  <si>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</si>
  <si>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</si>
  <si>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</si>
  <si>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</si>
  <si>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</si>
  <si>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</si>
  <si>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</si>
  <si>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</si>
  <si>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</si>
  <si>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</si>
  <si>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</si>
  <si>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</si>
  <si>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</si>
  <si>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</si>
  <si>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</si>
  <si>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</si>
  <si>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</si>
  <si>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</si>
  <si>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</si>
  <si>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</si>
  <si>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</si>
  <si>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</si>
  <si>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</si>
  <si>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</si>
  <si>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</si>
  <si>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</si>
  <si>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</si>
  <si>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</si>
  <si>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</si>
  <si>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</si>
  <si>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</si>
  <si>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</si>
  <si>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</si>
  <si>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</si>
  <si>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</si>
  <si>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</si>
  <si>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</si>
  <si>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</si>
  <si>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</si>
  <si>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</si>
  <si>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</si>
  <si>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</si>
  <si>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</si>
  <si>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</si>
  <si>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</si>
  <si>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</si>
  <si>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</si>
  <si>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</si>
  <si>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</si>
  <si>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</si>
  <si>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</si>
  <si>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</si>
  <si>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</si>
  <si>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</si>
  <si>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</si>
  <si>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</si>
  <si>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</si>
  <si>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</si>
  <si>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</si>
  <si>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</si>
  <si>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</si>
  <si>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</si>
  <si>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</si>
  <si>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</si>
  <si>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</si>
  <si>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</si>
  <si>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</si>
  <si>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</si>
  <si>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</si>
  <si>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</si>
  <si>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</si>
  <si>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</si>
  <si>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</si>
  <si>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</si>
  <si>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</si>
  <si>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</si>
  <si>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</si>
  <si>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</si>
  <si>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</si>
  <si>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</si>
  <si>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</si>
  <si>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</si>
  <si>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</si>
  <si>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</si>
  <si>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</si>
  <si>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</si>
  <si>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</si>
  <si>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</si>
  <si>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</si>
  <si>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</si>
  <si>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</si>
  <si>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</si>
  <si>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</si>
  <si>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</si>
  <si>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</si>
  <si>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</si>
  <si>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</si>
  <si>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</si>
  <si>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</si>
  <si>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</si>
  <si>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</si>
  <si>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</si>
  <si>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</si>
  <si>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</si>
  <si>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</si>
  <si>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</si>
  <si>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</si>
  <si>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</si>
  <si>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</si>
  <si>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</si>
  <si>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</si>
  <si>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</si>
  <si>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</si>
  <si>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</si>
  <si>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</si>
  <si>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</si>
  <si>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</si>
  <si>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</si>
  <si>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</si>
  <si>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</si>
  <si>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</si>
  <si>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</si>
  <si>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</si>
  <si>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</si>
  <si>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</si>
  <si>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</si>
  <si>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</si>
  <si>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</si>
  <si>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</si>
  <si>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</si>
  <si>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</si>
  <si>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</si>
  <si>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</si>
  <si>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</si>
  <si>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</si>
  <si>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</si>
  <si>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</si>
  <si>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</si>
  <si>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</si>
  <si>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</si>
  <si>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</si>
  <si>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</si>
  <si>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</si>
  <si>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</si>
  <si>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</si>
  <si>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</si>
  <si>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</si>
  <si>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</si>
  <si>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</si>
  <si>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</si>
  <si>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</si>
  <si>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</si>
  <si>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</si>
  <si>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</si>
  <si>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</si>
  <si>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</si>
  <si>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</si>
  <si>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</si>
  <si>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</si>
  <si>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</si>
  <si>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</si>
  <si>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</si>
  <si>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</si>
  <si>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</si>
  <si>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</si>
  <si>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</si>
  <si>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</si>
  <si>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</si>
  <si>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</si>
  <si>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</si>
  <si>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</si>
  <si>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</si>
  <si>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</si>
  <si>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</si>
  <si>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</si>
  <si>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</si>
  <si>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</si>
  <si>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</si>
  <si>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</si>
  <si>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</si>
  <si>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</si>
  <si>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</si>
  <si>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</si>
  <si>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</si>
  <si>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</si>
  <si>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</si>
  <si>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</si>
  <si>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</si>
  <si>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</si>
  <si>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</si>
  <si>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</si>
  <si>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</si>
  <si>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</si>
  <si>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</si>
  <si>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</si>
  <si>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</si>
  <si>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</si>
  <si>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</si>
  <si>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</si>
  <si>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</si>
  <si>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</si>
  <si>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</si>
  <si>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</si>
  <si>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</si>
  <si>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</si>
  <si>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</si>
  <si>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</si>
  <si>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</si>
  <si>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</si>
  <si>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</si>
  <si>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</si>
  <si>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</si>
  <si>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</si>
  <si>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</si>
  <si>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</si>
  <si>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</si>
  <si>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</si>
  <si>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</si>
  <si>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</si>
  <si>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</si>
  <si>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</si>
  <si>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donations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</si>
  <si>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</si>
  <si>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</si>
  <si>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</si>
  <si>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</si>
  <si>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</si>
  <si>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</si>
  <si>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</si>
  <si>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</si>
  <si>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</si>
  <si>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</si>
  <si>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</si>
  <si>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</si>
  <si>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</si>
  <si>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</si>
  <si>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</si>
  <si>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</si>
  <si>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</si>
  <si>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</si>
  <si>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</si>
  <si>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</si>
  <si>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</si>
  <si>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</si>
  <si>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</si>
  <si>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</si>
  <si>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</si>
  <si>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</si>
  <si>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</si>
  <si>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</si>
  <si>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</si>
  <si>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</si>
  <si>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</si>
  <si>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</si>
  <si>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</si>
  <si>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</si>
  <si>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</si>
  <si>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</si>
  <si>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</si>
  <si>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(All)</t>
  </si>
  <si>
    <t>Column Labels</t>
  </si>
  <si>
    <t>Grand Total</t>
  </si>
  <si>
    <t>Row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</si>
  <si>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</si>
  <si>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</si>
  <si>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</si>
  <si>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</si>
  <si>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</si>
  <si>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</si>
  <si>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</si>
  <si>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</si>
  <si>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</si>
  <si>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</si>
  <si>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</si>
  <si>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</si>
  <si>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</si>
  <si>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</si>
  <si>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</si>
  <si>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 Successful</t>
  </si>
  <si>
    <t>Num Failed</t>
  </si>
  <si>
    <t>Num Canceled</t>
  </si>
  <si>
    <t>Total Proj</t>
  </si>
  <si>
    <t>% Successful</t>
  </si>
  <si>
    <t xml:space="preserve">% Failed 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</si>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</sst>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0" xfId="42" applyFon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Recap!PivotTable1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Recap'!$B$4:$B$5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Recap'!$A$6:$A$15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Recap'!$B$6:$B$15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D-4E24-91AA-59B108607B9E}"/>
            </c:ext>
          </c:extLst>
        </c:ser>
        <c:ser>
          <c:idx val="1"/>
          <c:order val="1"/>
          <c:tx>
            <c:strRef>
              <c:f>'Category Recap'!$C$4:$C$5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Recap'!$A$6:$A$15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Recap'!$C$6:$C$15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D-4E24-91AA-59B108607B9E}"/>
            </c:ext>
          </c:extLst>
        </c:ser>
        <c:ser>
          <c:idx val="2"/>
          <c:order val="2"/>
          <c:tx>
            <c:strRef>
              <c:f>'Category Recap'!$D$4:$D$5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Recap'!$A$6:$A$15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Recap'!$D$6:$D$15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D-4E24-91AA-59B108607B9E}"/>
            </c:ext>
          </c:extLst>
        </c:ser>
        <c:ser>
          <c:idx val="3"/>
          <c:order val="3"/>
          <c:tx>
            <c:strRef>
              <c:f>'Category Recap'!$E$4:$E$5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Recap'!$A$6:$A$15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Recap'!$E$6:$E$15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D-4E24-91AA-59B10860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357408"/>
        <c:axId val="2069770672"/>
      </c:barChart>
      <c:catAx>
        <c:axId val="21093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70672"/>
        <c:crosses val="autoZero"/>
        <c:auto val="1"/>
        <c:lblAlgn val="ctr"/>
        <c:lblOffset val="100"/>
        <c:noMultiLvlLbl val="0"/>
      </c:catAx>
      <c:valAx>
        <c:axId val="20697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Recap!PivotTable2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Recap'!$B$4:$B$5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Recap'!$A$6:$A$30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Recap'!$B$6:$B$30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3-4AE7-93E6-9B9B096C36D2}"/>
            </c:ext>
          </c:extLst>
        </c:ser>
        <c:ser>
          <c:idx val="1"/>
          <c:order val="1"/>
          <c:tx>
            <c:strRef>
              <c:f>'Subcategory Recap'!$C$4:$C$5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Recap'!$A$6:$A$30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Recap'!$C$6:$C$30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3-4AE7-93E6-9B9B096C36D2}"/>
            </c:ext>
          </c:extLst>
        </c:ser>
        <c:ser>
          <c:idx val="2"/>
          <c:order val="2"/>
          <c:tx>
            <c:strRef>
              <c:f>'Subcategory Recap'!$D$4:$D$5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Recap'!$A$6:$A$30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Recap'!$D$6:$D$30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3-4AE7-93E6-9B9B096C36D2}"/>
            </c:ext>
          </c:extLst>
        </c:ser>
        <c:ser>
          <c:idx val="3"/>
          <c:order val="3"/>
          <c:tx>
            <c:strRef>
              <c:f>'Subcategory Recap'!$E$4:$E$5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Recap'!$A$6:$A$30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Recap'!$E$6:$E$30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3-4AE7-93E6-9B9B096C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83696"/>
        <c:axId val="688599920"/>
      </c:barChart>
      <c:catAx>
        <c:axId val="688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99920"/>
        <c:crosses val="autoZero"/>
        <c:auto val="1"/>
        <c:lblAlgn val="ctr"/>
        <c:lblOffset val="100"/>
        <c:noMultiLvlLbl val="0"/>
      </c:catAx>
      <c:valAx>
        <c:axId val="6885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Outcome Recap!PivotTable1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Outcome Recap'!$B$4:$B$5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Outcome Recap'!$A$6:$A$18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 Recap'!$B$6:$B$18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B-4A8D-A618-C20DF49026E2}"/>
            </c:ext>
          </c:extLst>
        </c:ser>
        <c:ser>
          <c:idx val="1"/>
          <c:order val="1"/>
          <c:tx>
            <c:strRef>
              <c:f>'Date Created Outcome Recap'!$C$4:$C$5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Outcome Recap'!$A$6:$A$18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 Recap'!$C$6:$C$18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B-4A8D-A618-C20DF49026E2}"/>
            </c:ext>
          </c:extLst>
        </c:ser>
        <c:ser>
          <c:idx val="2"/>
          <c:order val="2"/>
          <c:tx>
            <c:strRef>
              <c:f>'Date Created Outcome Recap'!$D$4:$D$5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Outcome Recap'!$A$6:$A$18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 Recap'!$D$6:$D$18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B-4A8D-A618-C20DF49026E2}"/>
            </c:ext>
          </c:extLst>
        </c:ser>
        <c:ser>
          <c:idx val="3"/>
          <c:order val="3"/>
          <c:tx>
            <c:strRef>
              <c:f>'Date Created Outcome Recap'!$E$4:$E$5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Outcome Recap'!$A$6:$A$18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 Recap'!$E$6:$E$18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AB-4A8D-A618-C20DF490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771760"/>
        <c:axId val="1997868736"/>
      </c:lineChart>
      <c:catAx>
        <c:axId val="18867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68736"/>
        <c:crosses val="autoZero"/>
        <c:auto val="1"/>
        <c:lblAlgn val="ctr"/>
        <c:lblOffset val="100"/>
        <c:noMultiLvlLbl val="0"/>
      </c:catAx>
      <c:valAx>
        <c:axId val="1997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</xdr:row>
      <xdr:rowOff>95250</xdr:rowOff>
    </xdr:from>
    <xdr:to>
      <xdr:col>15</xdr:col>
      <xdr:colOff>361950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53B3C-5527-67C9-314F-7BB779B19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277811</xdr:colOff>
      <xdr:row>3</xdr:row>
      <xdr:rowOff>152400</xdr:rowOff>
    </xdr:from>
    <xdr:to>
      <xdr:col>18</xdr:col>
      <xdr:colOff>361950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00877-555F-2409-EA8C-98E925A1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608010</xdr:colOff>
      <xdr:row>1</xdr:row>
      <xdr:rowOff>85725</xdr:rowOff>
    </xdr:from>
    <xdr:to>
      <xdr:col>15</xdr:col>
      <xdr:colOff>657224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43EFD-48AC-F838-BA57-303711BE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Bauza" refreshedDate="44912.510635995372" createdVersion="8" refreshedVersion="8" minRefreshableVersion="3" recordCount="1001" xr:uid="{535E32B7-8203-449B-B3ED-6DCEEFD9A15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s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053A6-8D73-4FDC-BA51-C6022A2D14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99D92-2ACC-4F2F-AD80-6288AAAA53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848EE-1BB3-44F9-843C-BAE944C861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2" activePane="bottomLeft" state="frozen"/>
      <selection pane="bottomLeft" activeCell="D1" sqref="A1:XFD1048576"/>
    </sheetView>
  </sheetViews>
  <sheetFormatPr defaultColWidth="10.58203125" defaultRowHeight="15.5" x14ac:dyDescent="0.35"/>
  <cols>
    <col min="1" max="1" width="3.83203125" bestFit="1" customWidth="1"/>
    <col min="2" max="2" width="30.58203125" bestFit="1" customWidth="1"/>
    <col min="3" max="3" width="49.08203125" style="3" bestFit="1" customWidth="1"/>
    <col min="4" max="4" width="6.83203125" bestFit="1" customWidth="1"/>
    <col min="5" max="5" width="7.75" bestFit="1" customWidth="1"/>
    <col min="6" max="6" width="14.5" bestFit="1" customWidth="1"/>
    <col min="7" max="7" width="9.33203125" bestFit="1" customWidth="1"/>
    <col min="8" max="8" width="13.5" bestFit="1" customWidth="1"/>
    <col min="9" max="9" width="13.5" style="6" customWidth="1"/>
    <col min="10" max="10" width="7.58203125" bestFit="1" customWidth="1"/>
    <col min="11" max="11" width="8.33203125" bestFit="1" customWidth="1"/>
    <col min="12" max="12" width="11.5" bestFit="1" customWidth="1"/>
    <col min="13" max="13" width="10.83203125" bestFit="1" customWidth="1"/>
    <col min="14" max="14" width="22" bestFit="1" customWidth="1"/>
    <col min="15" max="15" width="10.83203125" customWidth="1"/>
    <col min="16" max="16" width="9.08203125" bestFit="1" customWidth="1"/>
    <col min="17" max="17" width="8.5" bestFit="1" customWidth="1"/>
    <col min="18" max="18" width="28.5" bestFit="1" customWidth="1"/>
    <col min="19" max="19" width="14.75" bestFit="1" customWidth="1"/>
    <col min="20" max="20" width="16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IFERROR((E2/D2)*100,"0")</f>
        <v>0</v>
      </c>
      <c r="G2" t="s">
        <v>14</v>
      </c>
      <c r="H2">
        <v>0</v>
      </c>
      <c r="I2" s="7" t="str">
        <f>IFERROR(E2/H2,"0")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IFERROR((E3/D3)*100,"0")</f>
        <v>1040</v>
      </c>
      <c r="G3" t="s">
        <v>20</v>
      </c>
      <c r="H3">
        <v>158</v>
      </c>
      <c r="I3" s="7">
        <f t="shared" ref="I3:I66" si="1">IFERROR(E3/H3,"0")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IFERROR((E67/D67)*100,"0")</f>
        <v>236.14754098360655</v>
      </c>
      <c r="G67" t="s">
        <v>20</v>
      </c>
      <c r="H67">
        <v>236</v>
      </c>
      <c r="I67" s="7">
        <f t="shared" ref="I67:I130" si="5">IFERROR(E67/H67,"0")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IFERROR((E131/D131)*100,"0")</f>
        <v>3.202693602693603</v>
      </c>
      <c r="G131" t="s">
        <v>74</v>
      </c>
      <c r="H131">
        <v>55</v>
      </c>
      <c r="I131" s="7">
        <f t="shared" ref="I131:I194" si="9">IFERROR(E131/H131,"0")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IFERROR((E195/D195)*100,"0")</f>
        <v>45.636363636363633</v>
      </c>
      <c r="G195" t="s">
        <v>14</v>
      </c>
      <c r="H195">
        <v>65</v>
      </c>
      <c r="I195" s="7">
        <f t="shared" ref="I195:I258" si="13">IFERROR(E195/H195,"0")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IFERROR((E259/D259)*100,"0")</f>
        <v>146</v>
      </c>
      <c r="G259" t="s">
        <v>20</v>
      </c>
      <c r="H259">
        <v>92</v>
      </c>
      <c r="I259" s="7">
        <f t="shared" ref="I259:I322" si="17">IFERROR(E259/H259,"0")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IFERROR((E323/D323)*100,"0")</f>
        <v>94.144366197183089</v>
      </c>
      <c r="G323" t="s">
        <v>14</v>
      </c>
      <c r="H323">
        <v>2468</v>
      </c>
      <c r="I323" s="7">
        <f t="shared" ref="I323:I386" si="21">IFERROR(E323/H323,"0")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IFERROR((E387/D387)*100,"0")</f>
        <v>146.16709511568124</v>
      </c>
      <c r="G387" t="s">
        <v>20</v>
      </c>
      <c r="H387">
        <v>1137</v>
      </c>
      <c r="I387" s="7">
        <f t="shared" ref="I387:I450" si="25">IFERROR(E387/H387,"0")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IFERROR((E451/D451)*100,"0")</f>
        <v>967</v>
      </c>
      <c r="G451" t="s">
        <v>20</v>
      </c>
      <c r="H451">
        <v>86</v>
      </c>
      <c r="I451" s="7">
        <f t="shared" ref="I451:I514" si="29">IFERROR(E451/H451,"0")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7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IFERROR((E515/D515)*100,"0")</f>
        <v>39.277108433734945</v>
      </c>
      <c r="G515" t="s">
        <v>74</v>
      </c>
      <c r="H515">
        <v>35</v>
      </c>
      <c r="I515" s="7">
        <f t="shared" ref="I515:I578" si="33">IFERROR(E515/H515,"0")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IFERROR((E579/D579)*100,"0")</f>
        <v>18.853658536585368</v>
      </c>
      <c r="G579" t="s">
        <v>74</v>
      </c>
      <c r="H579">
        <v>37</v>
      </c>
      <c r="I579" s="7">
        <f t="shared" ref="I579:I642" si="37">IFERROR(E579/H579,"0")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IFERROR((E643/D643)*100,"0")</f>
        <v>119.96808510638297</v>
      </c>
      <c r="G643" t="s">
        <v>20</v>
      </c>
      <c r="H643">
        <v>194</v>
      </c>
      <c r="I643" s="7">
        <f t="shared" ref="I643:I706" si="41">IFERROR(E643/H643,"0")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IFERROR((E707/D707)*100,"0")</f>
        <v>99.026517383618156</v>
      </c>
      <c r="G707" t="s">
        <v>14</v>
      </c>
      <c r="H707">
        <v>2025</v>
      </c>
      <c r="I707" s="7">
        <f t="shared" ref="I707:I770" si="45">IFERROR(E707/H707,"0")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IFERROR((E771/D771)*100,"0")</f>
        <v>86.867834394904463</v>
      </c>
      <c r="G771" t="s">
        <v>14</v>
      </c>
      <c r="H771">
        <v>3410</v>
      </c>
      <c r="I771" s="7">
        <f t="shared" ref="I771:I834" si="49">IFERROR(E771/H771,"0")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IFERROR((E835/D835)*100,"0")</f>
        <v>157.69117647058823</v>
      </c>
      <c r="G835" t="s">
        <v>20</v>
      </c>
      <c r="H835">
        <v>165</v>
      </c>
      <c r="I835" s="7">
        <f t="shared" ref="I835:I898" si="53">IFERROR(E835/H835,"0")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IFERROR((E899/D899)*100,"0")</f>
        <v>27.693181818181817</v>
      </c>
      <c r="G899" t="s">
        <v>14</v>
      </c>
      <c r="H899">
        <v>27</v>
      </c>
      <c r="I899" s="7">
        <f t="shared" ref="I899:I962" si="57">IFERROR(E899/H899,"0")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IFERROR((E963/D963)*100,"0")</f>
        <v>119.29824561403508</v>
      </c>
      <c r="G963" t="s">
        <v>20</v>
      </c>
      <c r="H963">
        <v>155</v>
      </c>
      <c r="I963" s="7">
        <f t="shared" ref="I963:I1001" si="61">IFERROR(E963/H963,"0")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F1:F1048576">
    <cfRule type="colorScale" priority="1">
      <colorScale>
        <cfvo type="min"/>
        <cfvo type="num" val="0"/>
        <cfvo type="max"/>
        <color rgb="FFC00000"/>
        <color rgb="FF92D050"/>
        <color rgb="FF00206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BF53-35FB-41AC-81AE-6EA9A0F2F26A}">
  <dimension ref="A2:F15"/>
  <sheetViews>
    <sheetView workbookViewId="0">
      <selection activeCell="A4" sqref="A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9" t="s">
        <v>6</v>
      </c>
      <c r="B2" t="s">
        <v>2068</v>
      </c>
    </row>
    <row r="4" spans="1:6" x14ac:dyDescent="0.35">
      <c r="A4" s="9" t="s">
        <v>2072</v>
      </c>
      <c r="B4" s="9" t="s">
        <v>2069</v>
      </c>
    </row>
    <row r="5" spans="1:6" x14ac:dyDescent="0.35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10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10" t="s">
        <v>2064</v>
      </c>
      <c r="E9">
        <v>4</v>
      </c>
      <c r="F9">
        <v>4</v>
      </c>
    </row>
    <row r="10" spans="1:6" x14ac:dyDescent="0.35">
      <c r="A10" s="10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10" t="s">
        <v>2070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E722-9218-46B3-8147-03ADB26E10F9}">
  <dimension ref="A1:F30"/>
  <sheetViews>
    <sheetView workbookViewId="0">
      <selection sqref="A1:F30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6</v>
      </c>
      <c r="B1" t="s">
        <v>2068</v>
      </c>
    </row>
    <row r="2" spans="1:6" x14ac:dyDescent="0.35">
      <c r="A2" s="9" t="s">
        <v>2031</v>
      </c>
      <c r="B2" t="s">
        <v>2068</v>
      </c>
    </row>
    <row r="4" spans="1:6" x14ac:dyDescent="0.35">
      <c r="A4" s="9" t="s">
        <v>2072</v>
      </c>
      <c r="B4" s="9" t="s">
        <v>2069</v>
      </c>
    </row>
    <row r="5" spans="1:6" x14ac:dyDescent="0.35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2065</v>
      </c>
      <c r="E7">
        <v>4</v>
      </c>
      <c r="F7">
        <v>4</v>
      </c>
    </row>
    <row r="8" spans="1:6" x14ac:dyDescent="0.35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2043</v>
      </c>
      <c r="C10">
        <v>8</v>
      </c>
      <c r="E10">
        <v>10</v>
      </c>
      <c r="F10">
        <v>18</v>
      </c>
    </row>
    <row r="11" spans="1:6" x14ac:dyDescent="0.3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2057</v>
      </c>
      <c r="C15">
        <v>3</v>
      </c>
      <c r="E15">
        <v>4</v>
      </c>
      <c r="F15">
        <v>7</v>
      </c>
    </row>
    <row r="16" spans="1:6" x14ac:dyDescent="0.35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2056</v>
      </c>
      <c r="C20">
        <v>4</v>
      </c>
      <c r="E20">
        <v>4</v>
      </c>
      <c r="F20">
        <v>8</v>
      </c>
    </row>
    <row r="21" spans="1:6" x14ac:dyDescent="0.35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2063</v>
      </c>
      <c r="C22">
        <v>9</v>
      </c>
      <c r="E22">
        <v>5</v>
      </c>
      <c r="F22">
        <v>14</v>
      </c>
    </row>
    <row r="23" spans="1:6" x14ac:dyDescent="0.35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2059</v>
      </c>
      <c r="C25">
        <v>7</v>
      </c>
      <c r="E25">
        <v>14</v>
      </c>
      <c r="F25">
        <v>21</v>
      </c>
    </row>
    <row r="26" spans="1:6" x14ac:dyDescent="0.35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2062</v>
      </c>
      <c r="E29">
        <v>3</v>
      </c>
      <c r="F29">
        <v>3</v>
      </c>
    </row>
    <row r="30" spans="1:6" x14ac:dyDescent="0.35">
      <c r="A30" s="10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9BD4-85B6-4D31-99FB-A4081C09FD88}">
  <dimension ref="A1:F18"/>
  <sheetViews>
    <sheetView workbookViewId="0">
      <selection activeCell="H32" sqref="H32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2031</v>
      </c>
      <c r="B1" t="s">
        <v>2068</v>
      </c>
    </row>
    <row r="2" spans="1:6" x14ac:dyDescent="0.35">
      <c r="A2" s="9" t="s">
        <v>2085</v>
      </c>
      <c r="B2" t="s">
        <v>2068</v>
      </c>
    </row>
    <row r="4" spans="1:6" x14ac:dyDescent="0.35">
      <c r="A4" s="9" t="s">
        <v>2072</v>
      </c>
      <c r="B4" s="9" t="s">
        <v>2069</v>
      </c>
    </row>
    <row r="5" spans="1:6" x14ac:dyDescent="0.35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0" t="s">
        <v>2070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16A-B409-43F8-B708-99B012EF0CD1}">
  <dimension ref="A1:I13"/>
  <sheetViews>
    <sheetView tabSelected="1" workbookViewId="0">
      <selection activeCell="I8" sqref="I8"/>
    </sheetView>
  </sheetViews>
  <sheetFormatPr defaultRowHeight="15.5" x14ac:dyDescent="0.35"/>
  <cols>
    <col min="1" max="1" width="16.75" bestFit="1" customWidth="1"/>
    <col min="2" max="2" width="13.75" style="13" bestFit="1" customWidth="1"/>
    <col min="3" max="3" width="10.1640625" style="13" bestFit="1" customWidth="1"/>
    <col min="4" max="4" width="12.83203125" style="13" bestFit="1" customWidth="1"/>
    <col min="5" max="5" width="8.6640625" style="13"/>
    <col min="6" max="6" width="11.25" style="13" bestFit="1" customWidth="1"/>
    <col min="7" max="7" width="8.08203125" style="13" bestFit="1" customWidth="1"/>
    <col min="8" max="8" width="10.25" style="13" bestFit="1" customWidth="1"/>
    <col min="9" max="9" width="8.6640625" style="13"/>
  </cols>
  <sheetData>
    <row r="1" spans="1:9" s="17" customFormat="1" x14ac:dyDescent="0.35">
      <c r="A1" s="15" t="s">
        <v>2086</v>
      </c>
      <c r="B1" s="16" t="s">
        <v>2087</v>
      </c>
      <c r="C1" s="16" t="s">
        <v>2088</v>
      </c>
      <c r="D1" s="16" t="s">
        <v>2089</v>
      </c>
      <c r="E1" s="16" t="s">
        <v>2090</v>
      </c>
      <c r="F1" s="16" t="s">
        <v>2091</v>
      </c>
      <c r="G1" s="16" t="s">
        <v>2092</v>
      </c>
      <c r="H1" s="16" t="s">
        <v>2093</v>
      </c>
      <c r="I1" s="1"/>
    </row>
    <row r="2" spans="1:9" x14ac:dyDescent="0.35">
      <c r="A2" s="11" t="s">
        <v>2094</v>
      </c>
      <c r="B2" s="12">
        <f>COUNTIFS(Crowdfunding!$G:$G,"successful",Crowdfunding!$D:$D,"&lt;1000")</f>
        <v>30</v>
      </c>
      <c r="C2" s="12">
        <f>COUNTIFS(Crowdfunding!$G:$G,"failed",Crowdfunding!$D:$D,"&lt;1000")</f>
        <v>20</v>
      </c>
      <c r="D2" s="12">
        <f>COUNTIFS(Crowdfunding!$G:$G,"canceled",Crowdfunding!$D:$D,"&lt;1000")</f>
        <v>1</v>
      </c>
      <c r="E2" s="12">
        <f>SUM(B2:D2)</f>
        <v>51</v>
      </c>
      <c r="F2" s="14">
        <f>IFERROR(B2/$E2,"0%")</f>
        <v>0.58823529411764708</v>
      </c>
      <c r="G2" s="14">
        <f>IFERROR(C2/$E2,"0%")</f>
        <v>0.39215686274509803</v>
      </c>
      <c r="H2" s="14">
        <f>IFERROR(D2/$E2,"0%")</f>
        <v>1.9607843137254902E-2</v>
      </c>
    </row>
    <row r="3" spans="1:9" x14ac:dyDescent="0.35">
      <c r="A3" s="11" t="s">
        <v>2095</v>
      </c>
      <c r="B3" s="12">
        <f>COUNTIFS(Crowdfunding!$G:$G,"successful",Crowdfunding!$D:$D,"&gt;=1000",Crowdfunding!$D:$D,"&lt;=4999" )</f>
        <v>191</v>
      </c>
      <c r="C3" s="12">
        <f>COUNTIFS(Crowdfunding!$G:$G,"failed",Crowdfunding!$D:$D,"&gt;=1000",Crowdfunding!$D:$D,"&lt;=4999" )</f>
        <v>38</v>
      </c>
      <c r="D3" s="12">
        <f>COUNTIFS(Crowdfunding!$G:$G,"canceled",Crowdfunding!$D:$D,"&gt;=1000",Crowdfunding!$D:$D,"&lt;=4999" )</f>
        <v>2</v>
      </c>
      <c r="E3" s="12">
        <f t="shared" ref="E3:E13" si="0">SUM(B3:D3)</f>
        <v>231</v>
      </c>
      <c r="F3" s="14">
        <f t="shared" ref="F3:H13" si="1">IFERROR(B3/$E3,"0%")</f>
        <v>0.82683982683982682</v>
      </c>
      <c r="G3" s="14">
        <f t="shared" si="1"/>
        <v>0.16450216450216451</v>
      </c>
      <c r="H3" s="14">
        <f t="shared" si="1"/>
        <v>8.658008658008658E-3</v>
      </c>
    </row>
    <row r="4" spans="1:9" x14ac:dyDescent="0.35">
      <c r="A4" s="11" t="s">
        <v>2096</v>
      </c>
      <c r="B4" s="12">
        <f>COUNTIFS(Crowdfunding!$G:$G,"successful",Crowdfunding!$D:$D,"&gt;=5000",Crowdfunding!$D:$D,"&lt;=9999" )</f>
        <v>164</v>
      </c>
      <c r="C4" s="12">
        <f>COUNTIFS(Crowdfunding!$G:$G,"failed",Crowdfunding!$D:$D,"&gt;=5000",Crowdfunding!$D:$D,"&lt;=9999" )</f>
        <v>126</v>
      </c>
      <c r="D4" s="12">
        <f>COUNTIFS(Crowdfunding!$G:$G,"canceled",Crowdfunding!$D:$D,"&gt;=5000",Crowdfunding!$D:$D,"&lt;=9999" )</f>
        <v>25</v>
      </c>
      <c r="E4" s="12">
        <f t="shared" si="0"/>
        <v>315</v>
      </c>
      <c r="F4" s="14">
        <f t="shared" si="1"/>
        <v>0.52063492063492067</v>
      </c>
      <c r="G4" s="14">
        <f t="shared" si="1"/>
        <v>0.4</v>
      </c>
      <c r="H4" s="14">
        <f t="shared" si="1"/>
        <v>7.9365079365079361E-2</v>
      </c>
    </row>
    <row r="5" spans="1:9" x14ac:dyDescent="0.35">
      <c r="A5" s="11" t="s">
        <v>2097</v>
      </c>
      <c r="B5" s="12">
        <f>COUNTIFS(Crowdfunding!$G:$G,"successful",Crowdfunding!$D:$D,"&gt;=10000",Crowdfunding!$D:$D,"&lt;=14999" )</f>
        <v>4</v>
      </c>
      <c r="C5" s="12">
        <f>COUNTIFS(Crowdfunding!$G:$G,"failed",Crowdfunding!$D:$D,"&gt;=10000",Crowdfunding!$D:$D,"&lt;=14999" )</f>
        <v>5</v>
      </c>
      <c r="D5" s="12">
        <f>COUNTIFS(Crowdfunding!$G:$G,"canceled",Crowdfunding!$D:$D,"&gt;=10000",Crowdfunding!$D:$D,"&lt;=14999" )</f>
        <v>0</v>
      </c>
      <c r="E5" s="12">
        <f t="shared" si="0"/>
        <v>9</v>
      </c>
      <c r="F5" s="14">
        <f t="shared" si="1"/>
        <v>0.44444444444444442</v>
      </c>
      <c r="G5" s="14">
        <f t="shared" si="1"/>
        <v>0.55555555555555558</v>
      </c>
      <c r="H5" s="14">
        <f t="shared" si="1"/>
        <v>0</v>
      </c>
    </row>
    <row r="6" spans="1:9" x14ac:dyDescent="0.35">
      <c r="A6" s="11" t="s">
        <v>2098</v>
      </c>
      <c r="B6" s="12">
        <f>COUNTIFS(Crowdfunding!$G:$G,"successful",Crowdfunding!$D:$D,"&gt;=15000",Crowdfunding!$D:$D,"&lt;=19999" )</f>
        <v>10</v>
      </c>
      <c r="C6" s="12">
        <f>COUNTIFS(Crowdfunding!$G:$G,"failed",Crowdfunding!$D:$D,"&gt;=15000",Crowdfunding!$D:$D,"&lt;=19999" )</f>
        <v>0</v>
      </c>
      <c r="D6" s="12">
        <f>COUNTIFS(Crowdfunding!$G:$G,"canceled",Crowdfunding!$D:$D,"&gt;=15000",Crowdfunding!$D:$D,"&lt;=19999" )</f>
        <v>0</v>
      </c>
      <c r="E6" s="12">
        <f t="shared" si="0"/>
        <v>10</v>
      </c>
      <c r="F6" s="14">
        <f t="shared" si="1"/>
        <v>1</v>
      </c>
      <c r="G6" s="14">
        <f t="shared" si="1"/>
        <v>0</v>
      </c>
      <c r="H6" s="14">
        <f t="shared" si="1"/>
        <v>0</v>
      </c>
    </row>
    <row r="7" spans="1:9" x14ac:dyDescent="0.35">
      <c r="A7" s="11" t="s">
        <v>2099</v>
      </c>
      <c r="B7" s="12">
        <f>COUNTIFS(Crowdfunding!$G:$G,"successful",Crowdfunding!$D:$D,"&gt;=20000",Crowdfunding!$D:$D,"&lt;=24999" )</f>
        <v>7</v>
      </c>
      <c r="C7" s="12">
        <f>COUNTIFS(Crowdfunding!$G:$G,"failed",Crowdfunding!$D:$D,"&gt;=20000",Crowdfunding!$D:$D,"&lt;=24999" )</f>
        <v>0</v>
      </c>
      <c r="D7" s="12">
        <f>COUNTIFS(Crowdfunding!$G:$G,"canceled",Crowdfunding!$D:$D,"&gt;=20000",Crowdfunding!$D:$D,"&lt;=24999" )</f>
        <v>0</v>
      </c>
      <c r="E7" s="12">
        <f t="shared" si="0"/>
        <v>7</v>
      </c>
      <c r="F7" s="14">
        <f t="shared" si="1"/>
        <v>1</v>
      </c>
      <c r="G7" s="14">
        <f t="shared" si="1"/>
        <v>0</v>
      </c>
      <c r="H7" s="14">
        <f t="shared" si="1"/>
        <v>0</v>
      </c>
    </row>
    <row r="8" spans="1:9" x14ac:dyDescent="0.35">
      <c r="A8" s="11" t="s">
        <v>2100</v>
      </c>
      <c r="B8" s="12">
        <f>COUNTIFS(Crowdfunding!$G:$G,"successful",Crowdfunding!$D:$D,"&gt;=25000",Crowdfunding!$D:$D,"&lt;=29999" )</f>
        <v>11</v>
      </c>
      <c r="C8" s="12">
        <f>COUNTIFS(Crowdfunding!$G:$G,"failed",Crowdfunding!$D:$D,"&gt;=25000",Crowdfunding!$D:$D,"&lt;=29999" )</f>
        <v>3</v>
      </c>
      <c r="D8" s="12">
        <f>COUNTIFS(Crowdfunding!$G:$G,"canceled",Crowdfunding!$D:$D,"&gt;=25000",Crowdfunding!$D:$D,"&lt;=29999" )</f>
        <v>0</v>
      </c>
      <c r="E8" s="12">
        <f t="shared" si="0"/>
        <v>14</v>
      </c>
      <c r="F8" s="14">
        <f t="shared" si="1"/>
        <v>0.7857142857142857</v>
      </c>
      <c r="G8" s="14">
        <f t="shared" si="1"/>
        <v>0.21428571428571427</v>
      </c>
      <c r="H8" s="14">
        <f t="shared" si="1"/>
        <v>0</v>
      </c>
    </row>
    <row r="9" spans="1:9" x14ac:dyDescent="0.35">
      <c r="A9" s="11" t="s">
        <v>2101</v>
      </c>
      <c r="B9" s="12">
        <f>COUNTIFS(Crowdfunding!$G:$G,"successful",Crowdfunding!$D:$D,"&gt;=30000",Crowdfunding!$D:$D,"&lt;=34999" )</f>
        <v>7</v>
      </c>
      <c r="C9" s="12">
        <f>COUNTIFS(Crowdfunding!$G:$G,"failed",Crowdfunding!$D:$D,"&gt;=30000",Crowdfunding!$D:$D,"&lt;=34999" )</f>
        <v>0</v>
      </c>
      <c r="D9" s="12">
        <f>COUNTIFS(Crowdfunding!$G:$G,"canceled",Crowdfunding!$D:$D,"&gt;=30000",Crowdfunding!$D:$D,"&lt;=34999" )</f>
        <v>0</v>
      </c>
      <c r="E9" s="12">
        <f t="shared" si="0"/>
        <v>7</v>
      </c>
      <c r="F9" s="14">
        <f t="shared" si="1"/>
        <v>1</v>
      </c>
      <c r="G9" s="14">
        <f t="shared" si="1"/>
        <v>0</v>
      </c>
      <c r="H9" s="14">
        <f t="shared" si="1"/>
        <v>0</v>
      </c>
    </row>
    <row r="10" spans="1:9" x14ac:dyDescent="0.35">
      <c r="A10" s="11" t="s">
        <v>2102</v>
      </c>
      <c r="B10" s="12">
        <f>COUNTIFS(Crowdfunding!$G:$G,"successful",Crowdfunding!$D:$D,"&gt;=35000",Crowdfunding!$D:$D,"&lt;=39999" )</f>
        <v>8</v>
      </c>
      <c r="C10" s="12">
        <f>COUNTIFS(Crowdfunding!$G:$G,"failed",Crowdfunding!$D:$D,"&gt;=35000",Crowdfunding!$D:$D,"&lt;=39999" )</f>
        <v>3</v>
      </c>
      <c r="D10" s="12">
        <f>COUNTIFS(Crowdfunding!$G:$G,"canceled",Crowdfunding!$D:$D,"&gt;=35000",Crowdfunding!$D:$D,"&lt;=39999" )</f>
        <v>1</v>
      </c>
      <c r="E10" s="12">
        <f t="shared" si="0"/>
        <v>12</v>
      </c>
      <c r="F10" s="14">
        <f t="shared" si="1"/>
        <v>0.66666666666666663</v>
      </c>
      <c r="G10" s="14">
        <f t="shared" si="1"/>
        <v>0.25</v>
      </c>
      <c r="H10" s="14">
        <f t="shared" si="1"/>
        <v>8.3333333333333329E-2</v>
      </c>
    </row>
    <row r="11" spans="1:9" x14ac:dyDescent="0.35">
      <c r="A11" s="11" t="s">
        <v>2103</v>
      </c>
      <c r="B11" s="12">
        <f>COUNTIFS(Crowdfunding!$G:$G,"successful",Crowdfunding!$D:$D,"&gt;=40000",Crowdfunding!$D:$D,"&lt;=44999" )</f>
        <v>11</v>
      </c>
      <c r="C11" s="12">
        <f>COUNTIFS(Crowdfunding!$G:$G,"failed",Crowdfunding!$D:$D,"&gt;=40000",Crowdfunding!$D:$D,"&lt;=44999" )</f>
        <v>3</v>
      </c>
      <c r="D11" s="12">
        <f>COUNTIFS(Crowdfunding!$G:$G,"canceled",Crowdfunding!$D:$D,"&gt;=40000",Crowdfunding!$D:$D,"&lt;=44999" )</f>
        <v>0</v>
      </c>
      <c r="E11" s="12">
        <f t="shared" si="0"/>
        <v>14</v>
      </c>
      <c r="F11" s="14">
        <f t="shared" si="1"/>
        <v>0.7857142857142857</v>
      </c>
      <c r="G11" s="14">
        <f t="shared" si="1"/>
        <v>0.21428571428571427</v>
      </c>
      <c r="H11" s="14">
        <f t="shared" si="1"/>
        <v>0</v>
      </c>
    </row>
    <row r="12" spans="1:9" x14ac:dyDescent="0.35">
      <c r="A12" s="11" t="s">
        <v>2104</v>
      </c>
      <c r="B12" s="12">
        <f>COUNTIFS(Crowdfunding!$G:$G,"successful",Crowdfunding!$D:$D,"&gt;=45000",Crowdfunding!$D:$D,"&lt;=49999" )</f>
        <v>8</v>
      </c>
      <c r="C12" s="12">
        <f>COUNTIFS(Crowdfunding!$G:$G,"failed",Crowdfunding!$D:$D,"&gt;=45000",Crowdfunding!$D:$D,"&lt;=49999" )</f>
        <v>3</v>
      </c>
      <c r="D12" s="12">
        <f>COUNTIFS(Crowdfunding!$G:$G,"canceled",Crowdfunding!$D:$D,"&gt;=45000",Crowdfunding!$D:$D,"&lt;=49999" )</f>
        <v>0</v>
      </c>
      <c r="E12" s="12">
        <f t="shared" si="0"/>
        <v>11</v>
      </c>
      <c r="F12" s="14">
        <f t="shared" si="1"/>
        <v>0.72727272727272729</v>
      </c>
      <c r="G12" s="14">
        <f t="shared" si="1"/>
        <v>0.27272727272727271</v>
      </c>
      <c r="H12" s="14">
        <f t="shared" si="1"/>
        <v>0</v>
      </c>
    </row>
    <row r="13" spans="1:9" x14ac:dyDescent="0.35">
      <c r="A13" s="11" t="s">
        <v>2105</v>
      </c>
      <c r="B13" s="12">
        <f>COUNTIFS(Crowdfunding!$G:$G,"successful",Crowdfunding!$D:$D,"&gt;=50000")</f>
        <v>114</v>
      </c>
      <c r="C13" s="12">
        <f>COUNTIFS(Crowdfunding!$G:$G,"failed",Crowdfunding!$D:$D,"&gt;=50000")</f>
        <v>163</v>
      </c>
      <c r="D13" s="12">
        <f>COUNTIFS(Crowdfunding!$G:$G,"canceled",Crowdfunding!$D:$D,"&gt;=50000")</f>
        <v>28</v>
      </c>
      <c r="E13" s="12">
        <f t="shared" si="0"/>
        <v>305</v>
      </c>
      <c r="F13" s="14">
        <f t="shared" si="1"/>
        <v>0.3737704918032787</v>
      </c>
      <c r="G13" s="14">
        <f t="shared" si="1"/>
        <v>0.53442622950819674</v>
      </c>
      <c r="H13" s="14">
        <f t="shared" si="1"/>
        <v>9.1803278688524587E-2</v>
      </c>
    </row>
  </sheetData>
  <pageMargins left="0.7" right="0.7" top="0.75" bottom="0.75" header="0.3" footer="0.3"/>
  <pageSetup orientation="portrait" r:id="rId1"/>
  <ignoredErrors>
    <ignoredError sqref="C2: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Recap</vt:lpstr>
      <vt:lpstr>Subcategory Recap</vt:lpstr>
      <vt:lpstr>Date Created Outcome Recap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Jose Bauza</cp:lastModifiedBy>
  <dcterms:created xsi:type="dcterms:W3CDTF">2021-09-29T18:52:28Z</dcterms:created>
  <dcterms:modified xsi:type="dcterms:W3CDTF">2022-12-18T19:07:55Z</dcterms:modified>
</cp:coreProperties>
</file>