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arch" sheetId="1" r:id="rId4"/>
    <sheet state="visible" name="Calculate" sheetId="2" r:id="rId5"/>
    <sheet state="visible" name="Cleanup" sheetId="3" r:id="rId6"/>
    <sheet state="visible" name="Visualize" sheetId="4" r:id="rId7"/>
    <sheet state="visible" name="Analyze" sheetId="5" r:id="rId8"/>
    <sheet state="hidden" name="Data Cleanup (2)" sheetId="6" r:id="rId9"/>
  </sheets>
  <definedNames/>
  <calcPr/>
</workbook>
</file>

<file path=xl/sharedStrings.xml><?xml version="1.0" encoding="utf-8"?>
<sst xmlns="http://schemas.openxmlformats.org/spreadsheetml/2006/main" count="273" uniqueCount="194">
  <si>
    <t>Q1) Instructions</t>
  </si>
  <si>
    <t>Use 2 different formulas to find the location of Connor West</t>
  </si>
  <si>
    <t>Employee</t>
  </si>
  <si>
    <t>Office Location</t>
  </si>
  <si>
    <t>Formula #1</t>
  </si>
  <si>
    <t>Bill Smith</t>
  </si>
  <si>
    <t>Tokyo</t>
  </si>
  <si>
    <t>Employee:</t>
  </si>
  <si>
    <t>Connor West</t>
  </si>
  <si>
    <t>Kennedi Singh</t>
  </si>
  <si>
    <t>Paris</t>
  </si>
  <si>
    <t>Location:</t>
  </si>
  <si>
    <t>Harley Fritz</t>
  </si>
  <si>
    <t>Austin</t>
  </si>
  <si>
    <t>Nyla Novak</t>
  </si>
  <si>
    <t>Formula #2</t>
  </si>
  <si>
    <t>David Rasmussen</t>
  </si>
  <si>
    <t>London</t>
  </si>
  <si>
    <t>Ivan Hines</t>
  </si>
  <si>
    <t>Jonah Higgins</t>
  </si>
  <si>
    <t>Jordan Boone</t>
  </si>
  <si>
    <t>Madrid</t>
  </si>
  <si>
    <t>Kylee Townsend</t>
  </si>
  <si>
    <t>Prague</t>
  </si>
  <si>
    <t>Nora Rollins</t>
  </si>
  <si>
    <t>Chicago</t>
  </si>
  <si>
    <t>Brendan Walls</t>
  </si>
  <si>
    <t>Buenos Aires</t>
  </si>
  <si>
    <t>Steven Michael</t>
  </si>
  <si>
    <t>Q2) Instructions</t>
  </si>
  <si>
    <t>Find the number of bottles we need to sell to reach $10,000 in profit</t>
  </si>
  <si>
    <t>Assumptions</t>
  </si>
  <si>
    <t>Sales Price per Bottle</t>
  </si>
  <si>
    <t>Sales Tax</t>
  </si>
  <si>
    <t>Cost per bottle</t>
  </si>
  <si>
    <t>Profitability</t>
  </si>
  <si>
    <t>Bottles Sold</t>
  </si>
  <si>
    <t>Sales</t>
  </si>
  <si>
    <t>Profit</t>
  </si>
  <si>
    <t>Q3) Instructions</t>
  </si>
  <si>
    <t>Clean the raw data import and identify sales less than $300</t>
  </si>
  <si>
    <t>Data Import</t>
  </si>
  <si>
    <t>Firstname</t>
  </si>
  <si>
    <t>Lastname</t>
  </si>
  <si>
    <t>ID</t>
  </si>
  <si>
    <t>City</t>
  </si>
  <si>
    <t>State</t>
  </si>
  <si>
    <t>Total Amount</t>
  </si>
  <si>
    <t>Squid Ward 1001 Honolulu Hawaii 301</t>
  </si>
  <si>
    <t xml:space="preserve">Sponge Bob 1002 Honolulu Hawaii 238 </t>
  </si>
  <si>
    <t>Homer Simp 1003 Austin Texas 294</t>
  </si>
  <si>
    <t>Elon Jobs 1004 Austin Texas 238</t>
  </si>
  <si>
    <t>Steve Musk 1005 Austin Texas 294</t>
  </si>
  <si>
    <t>Warren Munger 1006 Chicago Illinois 308</t>
  </si>
  <si>
    <t>Charlie Buffett 1007 Chicago Illinois 339.5</t>
  </si>
  <si>
    <t>Kobe James 1008 Chicago Illinois 332.5</t>
  </si>
  <si>
    <t>Jordan Bryant 1009 Cleveland Ohio 318.5</t>
  </si>
  <si>
    <t>Tom Manning 1010 Cleveland Ohio 273</t>
  </si>
  <si>
    <t>Peyton Brady 1011 Cleveland Ohio 252</t>
  </si>
  <si>
    <t>Bob Builder 1012 Seattle Washington 346.5</t>
  </si>
  <si>
    <t>Messi Ronaldo 1013 Seattle Washington 339</t>
  </si>
  <si>
    <t>Roger Nadal 1014 Seattle Washington 308</t>
  </si>
  <si>
    <t>Rafael Federer 1015 Seattle Washington 252</t>
  </si>
  <si>
    <t>Q4) Instructions</t>
  </si>
  <si>
    <t>Create a chart showing product and service revenue and gross margin percentage</t>
  </si>
  <si>
    <t>Income Statement</t>
  </si>
  <si>
    <t>2022E</t>
  </si>
  <si>
    <t>2023E</t>
  </si>
  <si>
    <t>2024E</t>
  </si>
  <si>
    <t>2025E</t>
  </si>
  <si>
    <t>2026E</t>
  </si>
  <si>
    <t>2027E</t>
  </si>
  <si>
    <t>2028E</t>
  </si>
  <si>
    <t>Revenue:</t>
  </si>
  <si>
    <t>Products</t>
  </si>
  <si>
    <t>Services</t>
  </si>
  <si>
    <t>Total Revenue</t>
  </si>
  <si>
    <t>COGS:</t>
  </si>
  <si>
    <t>Total COGS</t>
  </si>
  <si>
    <t>Gross Margin</t>
  </si>
  <si>
    <t>Gross Margin %</t>
  </si>
  <si>
    <t>Q5) Instructions</t>
  </si>
  <si>
    <t>Show by quarter - the quantity sold, total sales, and avg sale price</t>
  </si>
  <si>
    <t>Date</t>
  </si>
  <si>
    <t>Order ID</t>
  </si>
  <si>
    <t>First</t>
  </si>
  <si>
    <t>Last</t>
  </si>
  <si>
    <t>Purchase</t>
  </si>
  <si>
    <t>Quarter</t>
  </si>
  <si>
    <t>Squid</t>
  </si>
  <si>
    <t>Ward</t>
  </si>
  <si>
    <t>Total Orders</t>
  </si>
  <si>
    <t>Average Amount</t>
  </si>
  <si>
    <t>Sponge</t>
  </si>
  <si>
    <t>Bob</t>
  </si>
  <si>
    <t>2020 Q1</t>
  </si>
  <si>
    <t>Homer</t>
  </si>
  <si>
    <t>Simp</t>
  </si>
  <si>
    <t>2020 Q2</t>
  </si>
  <si>
    <t>Elon</t>
  </si>
  <si>
    <t>Jobs</t>
  </si>
  <si>
    <t>2020 Q3</t>
  </si>
  <si>
    <t>Steve</t>
  </si>
  <si>
    <t>Musk</t>
  </si>
  <si>
    <t>2020 Q4</t>
  </si>
  <si>
    <t>Warren</t>
  </si>
  <si>
    <t>Munger</t>
  </si>
  <si>
    <t>2021 Q1</t>
  </si>
  <si>
    <t>Charlie</t>
  </si>
  <si>
    <t>Buffett</t>
  </si>
  <si>
    <t>2021 Q2</t>
  </si>
  <si>
    <t>Kobe</t>
  </si>
  <si>
    <t>James</t>
  </si>
  <si>
    <t>2021 Q3</t>
  </si>
  <si>
    <t>Jordan</t>
  </si>
  <si>
    <t>Bryant</t>
  </si>
  <si>
    <t>2021 Q4</t>
  </si>
  <si>
    <t>Tom</t>
  </si>
  <si>
    <t>Manning</t>
  </si>
  <si>
    <t>Peyton</t>
  </si>
  <si>
    <t>Brady</t>
  </si>
  <si>
    <t>Builder</t>
  </si>
  <si>
    <t>Messi</t>
  </si>
  <si>
    <t>Ronaldo</t>
  </si>
  <si>
    <t>Roger</t>
  </si>
  <si>
    <t>Nadal</t>
  </si>
  <si>
    <t>Rafael</t>
  </si>
  <si>
    <t>Federer</t>
  </si>
  <si>
    <t>Sam</t>
  </si>
  <si>
    <t>Smith</t>
  </si>
  <si>
    <t>Ed</t>
  </si>
  <si>
    <t>Mars</t>
  </si>
  <si>
    <t>Bruno</t>
  </si>
  <si>
    <t>Sheeran</t>
  </si>
  <si>
    <t>Elvis</t>
  </si>
  <si>
    <t>Einstein</t>
  </si>
  <si>
    <t>Albert</t>
  </si>
  <si>
    <t>Presley</t>
  </si>
  <si>
    <t>Oprah</t>
  </si>
  <si>
    <t>Obama</t>
  </si>
  <si>
    <t>Walt</t>
  </si>
  <si>
    <t>Ford</t>
  </si>
  <si>
    <t>Henry</t>
  </si>
  <si>
    <t>Disney</t>
  </si>
  <si>
    <t>Shohei</t>
  </si>
  <si>
    <t>Soto</t>
  </si>
  <si>
    <t>Juan</t>
  </si>
  <si>
    <t>Ohtani</t>
  </si>
  <si>
    <t>Bo</t>
  </si>
  <si>
    <t>Rogan</t>
  </si>
  <si>
    <t>Question: Use text to columns, conditional formatting, and other excel functions to clean up this raw data import</t>
  </si>
  <si>
    <t>Squid Ward</t>
  </si>
  <si>
    <t xml:space="preserve"> Transaction ID </t>
  </si>
  <si>
    <t xml:space="preserve"> Honolulu</t>
  </si>
  <si>
    <t xml:space="preserve"> Hawaii </t>
  </si>
  <si>
    <t xml:space="preserve">Purchase Amount </t>
  </si>
  <si>
    <t xml:space="preserve"> Email </t>
  </si>
  <si>
    <t>sward@gmail.com</t>
  </si>
  <si>
    <t>Sponge Bob</t>
  </si>
  <si>
    <t>sbob@gmail.com</t>
  </si>
  <si>
    <t>Homer Simp</t>
  </si>
  <si>
    <t xml:space="preserve"> Austin</t>
  </si>
  <si>
    <t xml:space="preserve"> Texas </t>
  </si>
  <si>
    <t>hsimp@gmail.com</t>
  </si>
  <si>
    <t>Elon Jobs</t>
  </si>
  <si>
    <t>ejobs@gmail.com</t>
  </si>
  <si>
    <t>Steve Musk</t>
  </si>
  <si>
    <t>smusk@gmail.com</t>
  </si>
  <si>
    <t>Warren Munger</t>
  </si>
  <si>
    <t xml:space="preserve"> Chicago</t>
  </si>
  <si>
    <t xml:space="preserve"> Illinois </t>
  </si>
  <si>
    <t>wmunger@gmail.com</t>
  </si>
  <si>
    <t>Charlie Buffett</t>
  </si>
  <si>
    <t>cbuffett@gmail.com</t>
  </si>
  <si>
    <t>Kobe James</t>
  </si>
  <si>
    <t>kjames@gmail.com</t>
  </si>
  <si>
    <t>Jordan Bryant</t>
  </si>
  <si>
    <t xml:space="preserve"> Cleveland</t>
  </si>
  <si>
    <t xml:space="preserve"> Ohio </t>
  </si>
  <si>
    <t>jbryant@gmail.com</t>
  </si>
  <si>
    <t>Tom Manning</t>
  </si>
  <si>
    <t>tmanning@gmail.com</t>
  </si>
  <si>
    <t>Peyton Brady</t>
  </si>
  <si>
    <t>pbrady@gmail.com</t>
  </si>
  <si>
    <t>Bob Builder</t>
  </si>
  <si>
    <t xml:space="preserve"> Seattle</t>
  </si>
  <si>
    <t xml:space="preserve"> Washington </t>
  </si>
  <si>
    <t>bbuilder@gmail.com</t>
  </si>
  <si>
    <t>Messi Ronaldo</t>
  </si>
  <si>
    <t>mronaldo@gmail.com</t>
  </si>
  <si>
    <t>Roger Nadal</t>
  </si>
  <si>
    <t>rnadal@gmail.com</t>
  </si>
  <si>
    <t>Rafael Federer</t>
  </si>
  <si>
    <t>rfederer@gmail.com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</si>
</sst>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_(* #,##0_);_(* \(#,##0\);_(* &quot;-&quot;??_);_(@_)"/>
    <numFmt numFmtId="165" formatCode="&quot;$&quot;#,##0.00_);\(&quot;$&quot;#,##0.00\)"/>
    <numFmt numFmtId="166" formatCode="00000"/>
    <numFmt numFmtId="167" formatCode="&quot;$&quot;#,##0"/>
    <numFmt numFmtId="168" formatCode="&quot;$&quot;#,##0_);[Red]\(&quot;$&quot;#,##0\)"/>
  </numFmts>
  <fonts count="13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sz val="11.0"/>
      <color theme="0"/>
      <name val="Calibri"/>
    </font>
    <font/>
    <font>
      <color theme="1"/>
      <name val="Calibri"/>
      <scheme val="minor"/>
    </font>
    <font>
      <b/>
      <sz val="11.0"/>
      <color theme="0"/>
      <name val="Calibri"/>
    </font>
    <font>
      <b/>
      <sz val="11.0"/>
      <color theme="1"/>
      <name val="Calibri"/>
    </font>
    <font>
      <b/>
      <color theme="0"/>
      <name val="Calibri"/>
      <scheme val="minor"/>
    </font>
    <font>
      <sz val="12.0"/>
      <color theme="1"/>
      <name val="Calibri"/>
    </font>
    <font>
      <b/>
      <i/>
      <sz val="11.0"/>
      <color theme="1"/>
      <name val="Calibri"/>
    </font>
    <font>
      <color rgb="FF000000"/>
      <name val="Calibri"/>
      <scheme val="minor"/>
    </font>
    <font>
      <u/>
      <sz val="11.0"/>
      <color theme="1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2A3E68"/>
        <bgColor rgb="FF2A3E68"/>
      </patternFill>
    </fill>
    <fill>
      <patternFill patternType="solid">
        <fgColor rgb="FFFEF2CB"/>
        <bgColor rgb="FFFEF2CB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/>
      <right/>
      <top/>
      <bottom/>
    </border>
    <border>
      <left/>
      <top/>
      <bottom/>
    </border>
    <border>
      <right/>
      <top/>
      <bottom/>
    </border>
    <border>
      <left/>
      <right/>
      <top style="thin">
        <color rgb="FF000000"/>
      </top>
      <bottom style="thin">
        <color rgb="FF000000"/>
      </bottom>
    </border>
    <border>
      <top/>
      <bottom/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ck">
        <color rgb="FF657BA3"/>
      </bottom>
    </border>
    <border>
      <right style="thin">
        <color rgb="FFFFFFFF"/>
      </right>
    </border>
    <border>
      <top style="double">
        <color rgb="FF000000"/>
      </top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3" numFmtId="0" xfId="0" applyAlignment="1" applyBorder="1" applyFill="1" applyFont="1">
      <alignment horizontal="left"/>
    </xf>
    <xf borderId="2" fillId="3" fontId="3" numFmtId="0" xfId="0" applyAlignment="1" applyBorder="1" applyFont="1">
      <alignment horizontal="center"/>
    </xf>
    <xf borderId="3" fillId="0" fontId="4" numFmtId="0" xfId="0" applyBorder="1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1" fillId="4" fontId="2" numFmtId="0" xfId="0" applyBorder="1" applyFill="1" applyFont="1"/>
    <xf borderId="0" fillId="0" fontId="5" numFmtId="0" xfId="0" applyFont="1"/>
    <xf borderId="2" fillId="3" fontId="6" numFmtId="0" xfId="0" applyAlignment="1" applyBorder="1" applyFont="1">
      <alignment horizontal="center"/>
    </xf>
    <xf borderId="0" fillId="0" fontId="2" numFmtId="9" xfId="0" applyFont="1" applyNumberFormat="1"/>
    <xf borderId="0" fillId="0" fontId="2" numFmtId="2" xfId="0" applyFont="1" applyNumberFormat="1"/>
    <xf borderId="1" fillId="4" fontId="2" numFmtId="164" xfId="0" applyBorder="1" applyFont="1" applyNumberFormat="1"/>
    <xf borderId="0" fillId="0" fontId="2" numFmtId="165" xfId="0" applyFont="1" applyNumberFormat="1"/>
    <xf borderId="4" fillId="5" fontId="7" numFmtId="0" xfId="0" applyBorder="1" applyFill="1" applyFont="1"/>
    <xf borderId="4" fillId="5" fontId="7" numFmtId="165" xfId="0" applyBorder="1" applyFont="1" applyNumberFormat="1"/>
    <xf borderId="0" fillId="0" fontId="3" numFmtId="0" xfId="0" applyFont="1"/>
    <xf borderId="0" fillId="3" fontId="8" numFmtId="0" xfId="0" applyAlignment="1" applyFont="1">
      <alignment readingOrder="0"/>
    </xf>
    <xf borderId="0" fillId="3" fontId="8" numFmtId="0" xfId="0" applyFont="1"/>
    <xf borderId="1" fillId="2" fontId="9" numFmtId="0" xfId="0" applyBorder="1" applyFont="1"/>
    <xf borderId="5" fillId="0" fontId="4" numFmtId="0" xfId="0" applyBorder="1" applyFont="1"/>
    <xf borderId="1" fillId="3" fontId="3" numFmtId="0" xfId="0" applyBorder="1" applyFont="1"/>
    <xf borderId="0" fillId="0" fontId="2" numFmtId="37" xfId="0" applyFont="1" applyNumberFormat="1"/>
    <xf borderId="6" fillId="0" fontId="7" numFmtId="0" xfId="0" applyBorder="1" applyFont="1"/>
    <xf borderId="6" fillId="0" fontId="7" numFmtId="37" xfId="0" applyBorder="1" applyFont="1" applyNumberFormat="1"/>
    <xf borderId="7" fillId="0" fontId="7" numFmtId="0" xfId="0" applyBorder="1" applyFont="1"/>
    <xf borderId="7" fillId="0" fontId="7" numFmtId="37" xfId="0" applyBorder="1" applyFont="1" applyNumberFormat="1"/>
    <xf borderId="4" fillId="5" fontId="7" numFmtId="37" xfId="0" applyBorder="1" applyFont="1" applyNumberFormat="1"/>
    <xf borderId="0" fillId="0" fontId="10" numFmtId="0" xfId="0" applyFont="1"/>
    <xf borderId="0" fillId="0" fontId="10" numFmtId="9" xfId="0" applyFont="1" applyNumberFormat="1"/>
    <xf borderId="1" fillId="3" fontId="6" numFmtId="0" xfId="0" applyBorder="1" applyFont="1"/>
    <xf borderId="0" fillId="0" fontId="5" numFmtId="0" xfId="0" applyAlignment="1" applyFont="1">
      <alignment readingOrder="0"/>
    </xf>
    <xf borderId="0" fillId="0" fontId="2" numFmtId="14" xfId="0" applyAlignment="1" applyFont="1" applyNumberFormat="1">
      <alignment horizontal="left"/>
    </xf>
    <xf borderId="0" fillId="0" fontId="2" numFmtId="166" xfId="0" applyAlignment="1" applyFont="1" applyNumberFormat="1">
      <alignment horizontal="left"/>
    </xf>
    <xf borderId="0" fillId="0" fontId="2" numFmtId="167" xfId="0" applyAlignment="1" applyFont="1" applyNumberFormat="1">
      <alignment horizontal="center"/>
    </xf>
    <xf borderId="8" fillId="3" fontId="6" numFmtId="0" xfId="0" applyAlignment="1" applyBorder="1" applyFont="1">
      <alignment vertical="bottom"/>
    </xf>
    <xf borderId="8" fillId="3" fontId="6" numFmtId="0" xfId="0" applyAlignment="1" applyBorder="1" applyFont="1">
      <alignment readingOrder="0" vertical="bottom"/>
    </xf>
    <xf borderId="0" fillId="6" fontId="11" numFmtId="0" xfId="0" applyFill="1" applyFont="1"/>
    <xf borderId="9" fillId="6" fontId="2" numFmtId="0" xfId="0" applyAlignment="1" applyBorder="1" applyFont="1">
      <alignment vertical="bottom"/>
    </xf>
    <xf borderId="0" fillId="7" fontId="2" numFmtId="0" xfId="0" applyAlignment="1" applyFill="1" applyFont="1">
      <alignment horizontal="right" vertical="bottom"/>
    </xf>
    <xf borderId="0" fillId="7" fontId="2" numFmtId="167" xfId="0" applyAlignment="1" applyFont="1" applyNumberFormat="1">
      <alignment horizontal="right" vertical="bottom"/>
    </xf>
    <xf borderId="10" fillId="6" fontId="7" numFmtId="0" xfId="0" applyAlignment="1" applyBorder="1" applyFont="1">
      <alignment vertical="bottom"/>
    </xf>
    <xf borderId="10" fillId="6" fontId="7" numFmtId="0" xfId="0" applyAlignment="1" applyBorder="1" applyFont="1">
      <alignment horizontal="right" vertical="bottom"/>
    </xf>
    <xf borderId="10" fillId="6" fontId="7" numFmtId="167" xfId="0" applyAlignment="1" applyBorder="1" applyFont="1" applyNumberFormat="1">
      <alignment horizontal="right" vertical="bottom"/>
    </xf>
    <xf borderId="0" fillId="0" fontId="2" numFmtId="168" xfId="0" applyFont="1" applyNumberFormat="1"/>
    <xf borderId="0" fillId="0" fontId="2" numFmtId="166" xfId="0" applyFont="1" applyNumberFormat="1"/>
    <xf borderId="0" fillId="0" fontId="1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Products and Services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Visualize!$B$8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val>
            <c:numRef>
              <c:f>Visualize!$C$8:$I$8</c:f>
              <c:numCache/>
            </c:numRef>
          </c:val>
        </c:ser>
        <c:ser>
          <c:idx val="1"/>
          <c:order val="1"/>
          <c:tx>
            <c:strRef>
              <c:f>Visualize!$B$9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val>
            <c:numRef>
              <c:f>Visualize!$C$9:$I$9</c:f>
              <c:numCache/>
            </c:numRef>
          </c:val>
        </c:ser>
        <c:axId val="453315724"/>
        <c:axId val="1886609460"/>
      </c:barChart>
      <c:catAx>
        <c:axId val="4533157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6609460"/>
      </c:catAx>
      <c:valAx>
        <c:axId val="18866094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33157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Visualize!$C$6:$C$7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Visualize!$B$8:$B$9</c:f>
            </c:strRef>
          </c:cat>
          <c:val>
            <c:numRef>
              <c:f>Visualize!$C$8:$C$9</c:f>
              <c:numCache/>
            </c:numRef>
          </c:val>
        </c:ser>
        <c:ser>
          <c:idx val="1"/>
          <c:order val="1"/>
          <c:tx>
            <c:strRef>
              <c:f>Visualize!$D$6:$D$7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Visualize!$B$8:$B$9</c:f>
            </c:strRef>
          </c:cat>
          <c:val>
            <c:numRef>
              <c:f>Visualize!$D$8:$D$9</c:f>
              <c:numCache/>
            </c:numRef>
          </c:val>
        </c:ser>
        <c:ser>
          <c:idx val="2"/>
          <c:order val="2"/>
          <c:tx>
            <c:strRef>
              <c:f>Visualize!$E$6:$E$7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Visualize!$B$8:$B$9</c:f>
            </c:strRef>
          </c:cat>
          <c:val>
            <c:numRef>
              <c:f>Visualize!$E$8:$E$9</c:f>
              <c:numCache/>
            </c:numRef>
          </c:val>
        </c:ser>
        <c:ser>
          <c:idx val="3"/>
          <c:order val="3"/>
          <c:tx>
            <c:strRef>
              <c:f>Visualize!$F$6:$F$7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Visualize!$B$8:$B$9</c:f>
            </c:strRef>
          </c:cat>
          <c:val>
            <c:numRef>
              <c:f>Visualize!$F$8:$F$9</c:f>
              <c:numCache/>
            </c:numRef>
          </c:val>
        </c:ser>
        <c:ser>
          <c:idx val="4"/>
          <c:order val="4"/>
          <c:tx>
            <c:strRef>
              <c:f>Visualize!$G$6:$G$7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Visualize!$B$8:$B$9</c:f>
            </c:strRef>
          </c:cat>
          <c:val>
            <c:numRef>
              <c:f>Visualize!$G$8:$G$9</c:f>
              <c:numCache/>
            </c:numRef>
          </c:val>
        </c:ser>
        <c:ser>
          <c:idx val="5"/>
          <c:order val="5"/>
          <c:tx>
            <c:strRef>
              <c:f>Visualize!$H$6:$H$7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Visualize!$B$8:$B$9</c:f>
            </c:strRef>
          </c:cat>
          <c:val>
            <c:numRef>
              <c:f>Visualize!$H$8:$H$9</c:f>
              <c:numCache/>
            </c:numRef>
          </c:val>
        </c:ser>
        <c:ser>
          <c:idx val="6"/>
          <c:order val="6"/>
          <c:tx>
            <c:strRef>
              <c:f>Visualize!$I$6:$I$7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Visualize!$B$8:$B$9</c:f>
            </c:strRef>
          </c:cat>
          <c:val>
            <c:numRef>
              <c:f>Visualize!$I$8:$I$9</c:f>
              <c:numCache/>
            </c:numRef>
          </c:val>
        </c:ser>
        <c:axId val="1896388191"/>
        <c:axId val="1487256732"/>
      </c:barChart>
      <c:catAx>
        <c:axId val="1896388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87256732"/>
      </c:catAx>
      <c:valAx>
        <c:axId val="14872567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63881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285750</xdr:colOff>
      <xdr:row>1</xdr:row>
      <xdr:rowOff>66675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400050</xdr:colOff>
      <xdr:row>18</xdr:row>
      <xdr:rowOff>57150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mailto:pbrady@gmail.com" TargetMode="External"/><Relationship Id="rId10" Type="http://schemas.openxmlformats.org/officeDocument/2006/relationships/hyperlink" Target="mailto:tmanning@gmail.com" TargetMode="External"/><Relationship Id="rId13" Type="http://schemas.openxmlformats.org/officeDocument/2006/relationships/hyperlink" Target="mailto:mronaldo@gmail.com" TargetMode="External"/><Relationship Id="rId12" Type="http://schemas.openxmlformats.org/officeDocument/2006/relationships/hyperlink" Target="mailto:bbuilder@gmail.com" TargetMode="External"/><Relationship Id="rId1" Type="http://schemas.openxmlformats.org/officeDocument/2006/relationships/hyperlink" Target="mailto:sward@gmail.com" TargetMode="External"/><Relationship Id="rId2" Type="http://schemas.openxmlformats.org/officeDocument/2006/relationships/hyperlink" Target="mailto:sbob@gmail.com" TargetMode="External"/><Relationship Id="rId3" Type="http://schemas.openxmlformats.org/officeDocument/2006/relationships/hyperlink" Target="mailto:hsimp@gmail.com" TargetMode="External"/><Relationship Id="rId4" Type="http://schemas.openxmlformats.org/officeDocument/2006/relationships/hyperlink" Target="mailto:ejobs@gmail.com" TargetMode="External"/><Relationship Id="rId9" Type="http://schemas.openxmlformats.org/officeDocument/2006/relationships/hyperlink" Target="mailto:jbryant@gmail.com" TargetMode="External"/><Relationship Id="rId15" Type="http://schemas.openxmlformats.org/officeDocument/2006/relationships/hyperlink" Target="mailto:rfederer@gmail.com" TargetMode="External"/><Relationship Id="rId14" Type="http://schemas.openxmlformats.org/officeDocument/2006/relationships/hyperlink" Target="mailto:rnadal@gmail.com" TargetMode="External"/><Relationship Id="rId16" Type="http://schemas.openxmlformats.org/officeDocument/2006/relationships/drawing" Target="../drawings/drawing6.xml"/><Relationship Id="rId5" Type="http://schemas.openxmlformats.org/officeDocument/2006/relationships/hyperlink" Target="mailto:smusk@gmail.com" TargetMode="External"/><Relationship Id="rId6" Type="http://schemas.openxmlformats.org/officeDocument/2006/relationships/hyperlink" Target="mailto:wmunger@gmail.com" TargetMode="External"/><Relationship Id="rId7" Type="http://schemas.openxmlformats.org/officeDocument/2006/relationships/hyperlink" Target="mailto:cbuffett@gmail.com" TargetMode="External"/><Relationship Id="rId8" Type="http://schemas.openxmlformats.org/officeDocument/2006/relationships/hyperlink" Target="mailto:k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14.57"/>
    <col customWidth="1" min="3" max="3" width="12.57"/>
    <col customWidth="1" min="4" max="5" width="8.86"/>
    <col customWidth="1" min="6" max="6" width="17.43"/>
    <col customWidth="1" min="7" max="26" width="8.86"/>
  </cols>
  <sheetData>
    <row r="2">
      <c r="B2" s="1" t="s">
        <v>0</v>
      </c>
      <c r="C2" s="1"/>
      <c r="D2" s="1"/>
      <c r="E2" s="1"/>
      <c r="F2" s="1"/>
    </row>
    <row r="3">
      <c r="B3" s="2" t="s">
        <v>1</v>
      </c>
    </row>
    <row r="5">
      <c r="B5" s="3" t="s">
        <v>2</v>
      </c>
      <c r="C5" s="3" t="s">
        <v>3</v>
      </c>
      <c r="E5" s="4" t="s">
        <v>4</v>
      </c>
      <c r="F5" s="5"/>
    </row>
    <row r="6">
      <c r="B6" s="6" t="s">
        <v>5</v>
      </c>
      <c r="C6" s="6" t="s">
        <v>6</v>
      </c>
      <c r="E6" s="7" t="s">
        <v>7</v>
      </c>
      <c r="F6" s="2" t="s">
        <v>8</v>
      </c>
    </row>
    <row r="7">
      <c r="B7" s="6" t="s">
        <v>9</v>
      </c>
      <c r="C7" s="6" t="s">
        <v>10</v>
      </c>
      <c r="E7" s="7" t="s">
        <v>11</v>
      </c>
      <c r="F7" s="8" t="str">
        <f t="array" ref="F7">INDEX(C6:C18, MATCH(F6, B6:B18, 0))</f>
        <v>Chicago</v>
      </c>
    </row>
    <row r="8">
      <c r="B8" s="6" t="s">
        <v>12</v>
      </c>
      <c r="C8" s="6" t="s">
        <v>13</v>
      </c>
      <c r="E8" s="2"/>
      <c r="F8" s="2"/>
    </row>
    <row r="9">
      <c r="B9" s="6" t="s">
        <v>14</v>
      </c>
      <c r="C9" s="6" t="s">
        <v>13</v>
      </c>
      <c r="E9" s="4" t="s">
        <v>15</v>
      </c>
      <c r="F9" s="5"/>
    </row>
    <row r="10">
      <c r="B10" s="6" t="s">
        <v>16</v>
      </c>
      <c r="C10" s="6" t="s">
        <v>17</v>
      </c>
      <c r="E10" s="7" t="s">
        <v>7</v>
      </c>
      <c r="F10" s="2" t="s">
        <v>8</v>
      </c>
    </row>
    <row r="11">
      <c r="B11" s="6" t="s">
        <v>18</v>
      </c>
      <c r="C11" s="6" t="s">
        <v>17</v>
      </c>
      <c r="E11" s="7" t="s">
        <v>11</v>
      </c>
      <c r="F11" s="8" t="str">
        <f>VLOOKUP(F10, B6:C18, 2, FALSE)</f>
        <v>Chicago</v>
      </c>
    </row>
    <row r="12">
      <c r="B12" s="6" t="s">
        <v>19</v>
      </c>
      <c r="C12" s="6" t="s">
        <v>17</v>
      </c>
    </row>
    <row r="13">
      <c r="B13" s="6" t="s">
        <v>20</v>
      </c>
      <c r="C13" s="6" t="s">
        <v>21</v>
      </c>
    </row>
    <row r="14">
      <c r="B14" s="6" t="s">
        <v>22</v>
      </c>
      <c r="C14" s="6" t="s">
        <v>23</v>
      </c>
    </row>
    <row r="15">
      <c r="B15" s="6" t="s">
        <v>24</v>
      </c>
      <c r="C15" s="6" t="s">
        <v>25</v>
      </c>
    </row>
    <row r="16">
      <c r="B16" s="6" t="s">
        <v>8</v>
      </c>
      <c r="C16" s="6" t="s">
        <v>25</v>
      </c>
    </row>
    <row r="17">
      <c r="B17" s="6" t="s">
        <v>26</v>
      </c>
      <c r="C17" s="6" t="s">
        <v>27</v>
      </c>
    </row>
    <row r="18">
      <c r="B18" s="6" t="s">
        <v>28</v>
      </c>
      <c r="C18" s="6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E5:F5"/>
    <mergeCell ref="E9:F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24.57"/>
    <col customWidth="1" min="3" max="3" width="9.43"/>
    <col customWidth="1" min="4" max="4" width="8.86"/>
    <col customWidth="1" min="5" max="5" width="10.43"/>
    <col customWidth="1" min="6" max="26" width="8.86"/>
  </cols>
  <sheetData>
    <row r="2">
      <c r="B2" s="1" t="s">
        <v>29</v>
      </c>
      <c r="C2" s="1"/>
      <c r="D2" s="1"/>
      <c r="E2" s="1"/>
    </row>
    <row r="3">
      <c r="B3" s="9" t="s">
        <v>30</v>
      </c>
    </row>
    <row r="5">
      <c r="B5" s="10" t="s">
        <v>31</v>
      </c>
      <c r="C5" s="5"/>
    </row>
    <row r="6">
      <c r="B6" s="2" t="s">
        <v>32</v>
      </c>
      <c r="C6" s="2">
        <v>6.99</v>
      </c>
    </row>
    <row r="7">
      <c r="B7" s="2" t="s">
        <v>33</v>
      </c>
      <c r="C7" s="11">
        <v>0.08</v>
      </c>
    </row>
    <row r="8">
      <c r="B8" s="2" t="s">
        <v>34</v>
      </c>
      <c r="C8" s="12">
        <v>2.99</v>
      </c>
    </row>
    <row r="10">
      <c r="B10" s="10" t="s">
        <v>35</v>
      </c>
      <c r="C10" s="5"/>
    </row>
    <row r="11">
      <c r="B11" s="2" t="s">
        <v>36</v>
      </c>
      <c r="C11" s="13"/>
    </row>
    <row r="12">
      <c r="B12" s="2" t="s">
        <v>37</v>
      </c>
      <c r="C12" s="14">
        <f>C11*C6</f>
        <v>0</v>
      </c>
    </row>
    <row r="13">
      <c r="B13" s="2" t="s">
        <v>33</v>
      </c>
      <c r="C13" s="14">
        <f>-C12*C7</f>
        <v>0</v>
      </c>
    </row>
    <row r="14">
      <c r="B14" s="2" t="s">
        <v>34</v>
      </c>
      <c r="C14" s="14">
        <f>-C11*C8</f>
        <v>0</v>
      </c>
    </row>
    <row r="15">
      <c r="B15" s="15" t="s">
        <v>38</v>
      </c>
      <c r="C15" s="16">
        <f>SUM(C12:C14)</f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5:C5"/>
    <mergeCell ref="B10:C1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11.14"/>
    <col customWidth="1" min="3" max="3" width="21.86"/>
    <col customWidth="1" min="4" max="4" width="12.86"/>
    <col customWidth="1" min="5" max="5" width="5.0"/>
    <col customWidth="1" min="6" max="6" width="8.86"/>
    <col customWidth="1" min="7" max="7" width="11.14"/>
    <col customWidth="1" min="8" max="8" width="10.86"/>
    <col customWidth="1" min="9" max="26" width="8.86"/>
  </cols>
  <sheetData>
    <row r="2">
      <c r="B2" s="1" t="s">
        <v>39</v>
      </c>
      <c r="C2" s="1"/>
      <c r="D2" s="1"/>
    </row>
    <row r="3">
      <c r="B3" s="9" t="s">
        <v>40</v>
      </c>
    </row>
    <row r="5">
      <c r="B5" s="4" t="s">
        <v>41</v>
      </c>
      <c r="C5" s="5"/>
      <c r="D5" s="17"/>
      <c r="G5" s="18" t="s">
        <v>42</v>
      </c>
      <c r="H5" s="18" t="s">
        <v>43</v>
      </c>
      <c r="I5" s="18" t="s">
        <v>44</v>
      </c>
      <c r="J5" s="18" t="s">
        <v>45</v>
      </c>
      <c r="K5" s="18" t="s">
        <v>46</v>
      </c>
      <c r="L5" s="18" t="s">
        <v>47</v>
      </c>
      <c r="M5" s="19"/>
    </row>
    <row r="6">
      <c r="B6" s="9" t="s">
        <v>48</v>
      </c>
      <c r="F6" s="2"/>
      <c r="G6" s="9" t="str">
        <f>IFERROR(__xludf.DUMMYFUNCTION("SPLIT(B6, "" "")"),"Squid")</f>
        <v>Squid</v>
      </c>
      <c r="H6" s="9" t="str">
        <f>IFERROR(__xludf.DUMMYFUNCTION("""COMPUTED_VALUE"""),"Ward")</f>
        <v>Ward</v>
      </c>
      <c r="I6" s="9">
        <f>IFERROR(__xludf.DUMMYFUNCTION("""COMPUTED_VALUE"""),1001.0)</f>
        <v>1001</v>
      </c>
      <c r="J6" s="9" t="str">
        <f>IFERROR(__xludf.DUMMYFUNCTION("""COMPUTED_VALUE"""),"Honolulu")</f>
        <v>Honolulu</v>
      </c>
      <c r="K6" s="9" t="str">
        <f>IFERROR(__xludf.DUMMYFUNCTION("""COMPUTED_VALUE"""),"Hawaii")</f>
        <v>Hawaii</v>
      </c>
      <c r="L6" s="9">
        <f>IFERROR(__xludf.DUMMYFUNCTION("""COMPUTED_VALUE"""),301.0)</f>
        <v>301</v>
      </c>
    </row>
    <row r="7">
      <c r="B7" s="9" t="s">
        <v>49</v>
      </c>
      <c r="G7" s="9" t="str">
        <f>IFERROR(__xludf.DUMMYFUNCTION("SPLIT(B7, "" "")"),"Sponge")</f>
        <v>Sponge</v>
      </c>
      <c r="H7" s="9" t="str">
        <f>IFERROR(__xludf.DUMMYFUNCTION("""COMPUTED_VALUE"""),"Bob")</f>
        <v>Bob</v>
      </c>
      <c r="I7" s="9">
        <f>IFERROR(__xludf.DUMMYFUNCTION("""COMPUTED_VALUE"""),1002.0)</f>
        <v>1002</v>
      </c>
      <c r="J7" s="9" t="str">
        <f>IFERROR(__xludf.DUMMYFUNCTION("""COMPUTED_VALUE"""),"Honolulu")</f>
        <v>Honolulu</v>
      </c>
      <c r="K7" s="9" t="str">
        <f>IFERROR(__xludf.DUMMYFUNCTION("""COMPUTED_VALUE"""),"Hawaii")</f>
        <v>Hawaii</v>
      </c>
      <c r="L7" s="9">
        <f>IFERROR(__xludf.DUMMYFUNCTION("""COMPUTED_VALUE"""),238.0)</f>
        <v>238</v>
      </c>
    </row>
    <row r="8">
      <c r="B8" s="9" t="s">
        <v>50</v>
      </c>
      <c r="G8" s="9" t="str">
        <f>IFERROR(__xludf.DUMMYFUNCTION("SPLIT(B8, "" "")"),"Homer")</f>
        <v>Homer</v>
      </c>
      <c r="H8" s="9" t="str">
        <f>IFERROR(__xludf.DUMMYFUNCTION("""COMPUTED_VALUE"""),"Simp")</f>
        <v>Simp</v>
      </c>
      <c r="I8" s="9">
        <f>IFERROR(__xludf.DUMMYFUNCTION("""COMPUTED_VALUE"""),1003.0)</f>
        <v>1003</v>
      </c>
      <c r="J8" s="9" t="str">
        <f>IFERROR(__xludf.DUMMYFUNCTION("""COMPUTED_VALUE"""),"Austin")</f>
        <v>Austin</v>
      </c>
      <c r="K8" s="9" t="str">
        <f>IFERROR(__xludf.DUMMYFUNCTION("""COMPUTED_VALUE"""),"Texas")</f>
        <v>Texas</v>
      </c>
      <c r="L8" s="9">
        <f>IFERROR(__xludf.DUMMYFUNCTION("""COMPUTED_VALUE"""),294.0)</f>
        <v>294</v>
      </c>
    </row>
    <row r="9">
      <c r="B9" s="9" t="s">
        <v>51</v>
      </c>
      <c r="G9" s="9" t="str">
        <f>IFERROR(__xludf.DUMMYFUNCTION("SPLIT(B9, "" "")"),"Elon")</f>
        <v>Elon</v>
      </c>
      <c r="H9" s="9" t="str">
        <f>IFERROR(__xludf.DUMMYFUNCTION("""COMPUTED_VALUE"""),"Jobs")</f>
        <v>Jobs</v>
      </c>
      <c r="I9" s="9">
        <f>IFERROR(__xludf.DUMMYFUNCTION("""COMPUTED_VALUE"""),1004.0)</f>
        <v>1004</v>
      </c>
      <c r="J9" s="9" t="str">
        <f>IFERROR(__xludf.DUMMYFUNCTION("""COMPUTED_VALUE"""),"Austin")</f>
        <v>Austin</v>
      </c>
      <c r="K9" s="9" t="str">
        <f>IFERROR(__xludf.DUMMYFUNCTION("""COMPUTED_VALUE"""),"Texas")</f>
        <v>Texas</v>
      </c>
      <c r="L9" s="9">
        <f>IFERROR(__xludf.DUMMYFUNCTION("""COMPUTED_VALUE"""),238.0)</f>
        <v>238</v>
      </c>
    </row>
    <row r="10">
      <c r="B10" s="9" t="s">
        <v>52</v>
      </c>
      <c r="G10" s="9" t="str">
        <f>IFERROR(__xludf.DUMMYFUNCTION("SPLIT(B10, "" "")"),"Steve")</f>
        <v>Steve</v>
      </c>
      <c r="H10" s="9" t="str">
        <f>IFERROR(__xludf.DUMMYFUNCTION("""COMPUTED_VALUE"""),"Musk")</f>
        <v>Musk</v>
      </c>
      <c r="I10" s="9">
        <f>IFERROR(__xludf.DUMMYFUNCTION("""COMPUTED_VALUE"""),1005.0)</f>
        <v>1005</v>
      </c>
      <c r="J10" s="9" t="str">
        <f>IFERROR(__xludf.DUMMYFUNCTION("""COMPUTED_VALUE"""),"Austin")</f>
        <v>Austin</v>
      </c>
      <c r="K10" s="9" t="str">
        <f>IFERROR(__xludf.DUMMYFUNCTION("""COMPUTED_VALUE"""),"Texas")</f>
        <v>Texas</v>
      </c>
      <c r="L10" s="9">
        <f>IFERROR(__xludf.DUMMYFUNCTION("""COMPUTED_VALUE"""),294.0)</f>
        <v>294</v>
      </c>
    </row>
    <row r="11">
      <c r="B11" s="9" t="s">
        <v>53</v>
      </c>
      <c r="G11" s="9" t="str">
        <f>IFERROR(__xludf.DUMMYFUNCTION("SPLIT(B11, "" "")"),"Warren")</f>
        <v>Warren</v>
      </c>
      <c r="H11" s="9" t="str">
        <f>IFERROR(__xludf.DUMMYFUNCTION("""COMPUTED_VALUE"""),"Munger")</f>
        <v>Munger</v>
      </c>
      <c r="I11" s="9">
        <f>IFERROR(__xludf.DUMMYFUNCTION("""COMPUTED_VALUE"""),1006.0)</f>
        <v>1006</v>
      </c>
      <c r="J11" s="9" t="str">
        <f>IFERROR(__xludf.DUMMYFUNCTION("""COMPUTED_VALUE"""),"Chicago")</f>
        <v>Chicago</v>
      </c>
      <c r="K11" s="9" t="str">
        <f>IFERROR(__xludf.DUMMYFUNCTION("""COMPUTED_VALUE"""),"Illinois")</f>
        <v>Illinois</v>
      </c>
      <c r="L11" s="9">
        <f>IFERROR(__xludf.DUMMYFUNCTION("""COMPUTED_VALUE"""),308.0)</f>
        <v>308</v>
      </c>
    </row>
    <row r="12">
      <c r="B12" s="9" t="s">
        <v>54</v>
      </c>
      <c r="G12" s="9" t="str">
        <f>IFERROR(__xludf.DUMMYFUNCTION("SPLIT(B12, "" "")"),"Charlie")</f>
        <v>Charlie</v>
      </c>
      <c r="H12" s="9" t="str">
        <f>IFERROR(__xludf.DUMMYFUNCTION("""COMPUTED_VALUE"""),"Buffett")</f>
        <v>Buffett</v>
      </c>
      <c r="I12" s="9">
        <f>IFERROR(__xludf.DUMMYFUNCTION("""COMPUTED_VALUE"""),1007.0)</f>
        <v>1007</v>
      </c>
      <c r="J12" s="9" t="str">
        <f>IFERROR(__xludf.DUMMYFUNCTION("""COMPUTED_VALUE"""),"Chicago")</f>
        <v>Chicago</v>
      </c>
      <c r="K12" s="9" t="str">
        <f>IFERROR(__xludf.DUMMYFUNCTION("""COMPUTED_VALUE"""),"Illinois")</f>
        <v>Illinois</v>
      </c>
      <c r="L12" s="9">
        <f>IFERROR(__xludf.DUMMYFUNCTION("""COMPUTED_VALUE"""),339.5)</f>
        <v>339.5</v>
      </c>
    </row>
    <row r="13">
      <c r="B13" s="9" t="s">
        <v>55</v>
      </c>
      <c r="G13" s="9" t="str">
        <f>IFERROR(__xludf.DUMMYFUNCTION("SPLIT(B13, "" "")"),"Kobe")</f>
        <v>Kobe</v>
      </c>
      <c r="H13" s="9" t="str">
        <f>IFERROR(__xludf.DUMMYFUNCTION("""COMPUTED_VALUE"""),"James")</f>
        <v>James</v>
      </c>
      <c r="I13" s="9">
        <f>IFERROR(__xludf.DUMMYFUNCTION("""COMPUTED_VALUE"""),1008.0)</f>
        <v>1008</v>
      </c>
      <c r="J13" s="9" t="str">
        <f>IFERROR(__xludf.DUMMYFUNCTION("""COMPUTED_VALUE"""),"Chicago")</f>
        <v>Chicago</v>
      </c>
      <c r="K13" s="9" t="str">
        <f>IFERROR(__xludf.DUMMYFUNCTION("""COMPUTED_VALUE"""),"Illinois")</f>
        <v>Illinois</v>
      </c>
      <c r="L13" s="9">
        <f>IFERROR(__xludf.DUMMYFUNCTION("""COMPUTED_VALUE"""),332.5)</f>
        <v>332.5</v>
      </c>
    </row>
    <row r="14">
      <c r="B14" s="9" t="s">
        <v>56</v>
      </c>
      <c r="G14" s="9" t="str">
        <f>IFERROR(__xludf.DUMMYFUNCTION("SPLIT(B14, "" "")"),"Jordan")</f>
        <v>Jordan</v>
      </c>
      <c r="H14" s="9" t="str">
        <f>IFERROR(__xludf.DUMMYFUNCTION("""COMPUTED_VALUE"""),"Bryant")</f>
        <v>Bryant</v>
      </c>
      <c r="I14" s="9">
        <f>IFERROR(__xludf.DUMMYFUNCTION("""COMPUTED_VALUE"""),1009.0)</f>
        <v>1009</v>
      </c>
      <c r="J14" s="9" t="str">
        <f>IFERROR(__xludf.DUMMYFUNCTION("""COMPUTED_VALUE"""),"Cleveland")</f>
        <v>Cleveland</v>
      </c>
      <c r="K14" s="9" t="str">
        <f>IFERROR(__xludf.DUMMYFUNCTION("""COMPUTED_VALUE"""),"Ohio")</f>
        <v>Ohio</v>
      </c>
      <c r="L14" s="9">
        <f>IFERROR(__xludf.DUMMYFUNCTION("""COMPUTED_VALUE"""),318.5)</f>
        <v>318.5</v>
      </c>
    </row>
    <row r="15">
      <c r="B15" s="9" t="s">
        <v>57</v>
      </c>
      <c r="G15" s="9" t="str">
        <f>IFERROR(__xludf.DUMMYFUNCTION("SPLIT(B15, "" "")"),"Tom")</f>
        <v>Tom</v>
      </c>
      <c r="H15" s="9" t="str">
        <f>IFERROR(__xludf.DUMMYFUNCTION("""COMPUTED_VALUE"""),"Manning")</f>
        <v>Manning</v>
      </c>
      <c r="I15" s="9">
        <f>IFERROR(__xludf.DUMMYFUNCTION("""COMPUTED_VALUE"""),1010.0)</f>
        <v>1010</v>
      </c>
      <c r="J15" s="9" t="str">
        <f>IFERROR(__xludf.DUMMYFUNCTION("""COMPUTED_VALUE"""),"Cleveland")</f>
        <v>Cleveland</v>
      </c>
      <c r="K15" s="9" t="str">
        <f>IFERROR(__xludf.DUMMYFUNCTION("""COMPUTED_VALUE"""),"Ohio")</f>
        <v>Ohio</v>
      </c>
      <c r="L15" s="9">
        <f>IFERROR(__xludf.DUMMYFUNCTION("""COMPUTED_VALUE"""),273.0)</f>
        <v>273</v>
      </c>
    </row>
    <row r="16">
      <c r="B16" s="9" t="s">
        <v>58</v>
      </c>
      <c r="G16" s="9" t="str">
        <f>IFERROR(__xludf.DUMMYFUNCTION("SPLIT(B16, "" "")"),"Peyton")</f>
        <v>Peyton</v>
      </c>
      <c r="H16" s="9" t="str">
        <f>IFERROR(__xludf.DUMMYFUNCTION("""COMPUTED_VALUE"""),"Brady")</f>
        <v>Brady</v>
      </c>
      <c r="I16" s="9">
        <f>IFERROR(__xludf.DUMMYFUNCTION("""COMPUTED_VALUE"""),1011.0)</f>
        <v>1011</v>
      </c>
      <c r="J16" s="9" t="str">
        <f>IFERROR(__xludf.DUMMYFUNCTION("""COMPUTED_VALUE"""),"Cleveland")</f>
        <v>Cleveland</v>
      </c>
      <c r="K16" s="9" t="str">
        <f>IFERROR(__xludf.DUMMYFUNCTION("""COMPUTED_VALUE"""),"Ohio")</f>
        <v>Ohio</v>
      </c>
      <c r="L16" s="9">
        <f>IFERROR(__xludf.DUMMYFUNCTION("""COMPUTED_VALUE"""),252.0)</f>
        <v>252</v>
      </c>
    </row>
    <row r="17">
      <c r="B17" s="9" t="s">
        <v>59</v>
      </c>
      <c r="G17" s="9" t="str">
        <f>IFERROR(__xludf.DUMMYFUNCTION("SPLIT(B17, "" "")"),"Bob")</f>
        <v>Bob</v>
      </c>
      <c r="H17" s="9" t="str">
        <f>IFERROR(__xludf.DUMMYFUNCTION("""COMPUTED_VALUE"""),"Builder")</f>
        <v>Builder</v>
      </c>
      <c r="I17" s="9">
        <f>IFERROR(__xludf.DUMMYFUNCTION("""COMPUTED_VALUE"""),1012.0)</f>
        <v>1012</v>
      </c>
      <c r="J17" s="9" t="str">
        <f>IFERROR(__xludf.DUMMYFUNCTION("""COMPUTED_VALUE"""),"Seattle")</f>
        <v>Seattle</v>
      </c>
      <c r="K17" s="9" t="str">
        <f>IFERROR(__xludf.DUMMYFUNCTION("""COMPUTED_VALUE"""),"Washington")</f>
        <v>Washington</v>
      </c>
      <c r="L17" s="9">
        <f>IFERROR(__xludf.DUMMYFUNCTION("""COMPUTED_VALUE"""),346.5)</f>
        <v>346.5</v>
      </c>
    </row>
    <row r="18">
      <c r="B18" s="9" t="s">
        <v>60</v>
      </c>
      <c r="G18" s="9" t="str">
        <f>IFERROR(__xludf.DUMMYFUNCTION("SPLIT(B18, "" "")"),"Messi")</f>
        <v>Messi</v>
      </c>
      <c r="H18" s="9" t="str">
        <f>IFERROR(__xludf.DUMMYFUNCTION("""COMPUTED_VALUE"""),"Ronaldo")</f>
        <v>Ronaldo</v>
      </c>
      <c r="I18" s="9">
        <f>IFERROR(__xludf.DUMMYFUNCTION("""COMPUTED_VALUE"""),1013.0)</f>
        <v>1013</v>
      </c>
      <c r="J18" s="9" t="str">
        <f>IFERROR(__xludf.DUMMYFUNCTION("""COMPUTED_VALUE"""),"Seattle")</f>
        <v>Seattle</v>
      </c>
      <c r="K18" s="9" t="str">
        <f>IFERROR(__xludf.DUMMYFUNCTION("""COMPUTED_VALUE"""),"Washington")</f>
        <v>Washington</v>
      </c>
      <c r="L18" s="9">
        <f>IFERROR(__xludf.DUMMYFUNCTION("""COMPUTED_VALUE"""),339.0)</f>
        <v>339</v>
      </c>
    </row>
    <row r="19">
      <c r="B19" s="9" t="s">
        <v>61</v>
      </c>
      <c r="G19" s="9" t="str">
        <f>IFERROR(__xludf.DUMMYFUNCTION("SPLIT(B19, "" "")"),"Roger")</f>
        <v>Roger</v>
      </c>
      <c r="H19" s="9" t="str">
        <f>IFERROR(__xludf.DUMMYFUNCTION("""COMPUTED_VALUE"""),"Nadal")</f>
        <v>Nadal</v>
      </c>
      <c r="I19" s="9">
        <f>IFERROR(__xludf.DUMMYFUNCTION("""COMPUTED_VALUE"""),1014.0)</f>
        <v>1014</v>
      </c>
      <c r="J19" s="9" t="str">
        <f>IFERROR(__xludf.DUMMYFUNCTION("""COMPUTED_VALUE"""),"Seattle")</f>
        <v>Seattle</v>
      </c>
      <c r="K19" s="9" t="str">
        <f>IFERROR(__xludf.DUMMYFUNCTION("""COMPUTED_VALUE"""),"Washington")</f>
        <v>Washington</v>
      </c>
      <c r="L19" s="9">
        <f>IFERROR(__xludf.DUMMYFUNCTION("""COMPUTED_VALUE"""),308.0)</f>
        <v>308</v>
      </c>
    </row>
    <row r="20">
      <c r="B20" s="9" t="s">
        <v>62</v>
      </c>
      <c r="G20" s="9" t="str">
        <f>IFERROR(__xludf.DUMMYFUNCTION("SPLIT(B20, "" "")"),"Rafael")</f>
        <v>Rafael</v>
      </c>
      <c r="H20" s="9" t="str">
        <f>IFERROR(__xludf.DUMMYFUNCTION("""COMPUTED_VALUE"""),"Federer")</f>
        <v>Federer</v>
      </c>
      <c r="I20" s="9">
        <f>IFERROR(__xludf.DUMMYFUNCTION("""COMPUTED_VALUE"""),1015.0)</f>
        <v>1015</v>
      </c>
      <c r="J20" s="9" t="str">
        <f>IFERROR(__xludf.DUMMYFUNCTION("""COMPUTED_VALUE"""),"Seattle")</f>
        <v>Seattle</v>
      </c>
      <c r="K20" s="9" t="str">
        <f>IFERROR(__xludf.DUMMYFUNCTION("""COMPUTED_VALUE"""),"Washington")</f>
        <v>Washington</v>
      </c>
      <c r="L20" s="9">
        <f>IFERROR(__xludf.DUMMYFUNCTION("""COMPUTED_VALUE"""),252.0)</f>
        <v>252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5:C5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16.14"/>
    <col customWidth="1" min="3" max="9" width="8.57"/>
    <col customWidth="1" min="10" max="26" width="8.86"/>
  </cols>
  <sheetData>
    <row r="2">
      <c r="B2" s="1" t="s">
        <v>63</v>
      </c>
      <c r="C2" s="1"/>
      <c r="D2" s="1"/>
      <c r="E2" s="20"/>
      <c r="F2" s="20"/>
      <c r="G2" s="20"/>
      <c r="H2" s="20"/>
      <c r="I2" s="20"/>
    </row>
    <row r="3">
      <c r="B3" s="9" t="s">
        <v>64</v>
      </c>
    </row>
    <row r="5">
      <c r="B5" s="10" t="s">
        <v>65</v>
      </c>
      <c r="C5" s="21"/>
      <c r="D5" s="21"/>
      <c r="E5" s="21"/>
      <c r="F5" s="21"/>
      <c r="G5" s="21"/>
      <c r="H5" s="21"/>
      <c r="I5" s="5"/>
    </row>
    <row r="6">
      <c r="B6" s="22"/>
      <c r="C6" s="22" t="s">
        <v>66</v>
      </c>
      <c r="D6" s="22" t="s">
        <v>67</v>
      </c>
      <c r="E6" s="22" t="s">
        <v>68</v>
      </c>
      <c r="F6" s="22" t="s">
        <v>69</v>
      </c>
      <c r="G6" s="22" t="s">
        <v>70</v>
      </c>
      <c r="H6" s="22" t="s">
        <v>71</v>
      </c>
      <c r="I6" s="22" t="s">
        <v>72</v>
      </c>
    </row>
    <row r="7">
      <c r="B7" s="2" t="s">
        <v>73</v>
      </c>
    </row>
    <row r="8">
      <c r="B8" s="6" t="s">
        <v>74</v>
      </c>
      <c r="C8" s="23">
        <v>226116.80000000002</v>
      </c>
      <c r="D8" s="23">
        <v>264007.10000000003</v>
      </c>
      <c r="E8" s="23">
        <v>288893.43450000015</v>
      </c>
      <c r="F8" s="23">
        <v>300001.74687500007</v>
      </c>
      <c r="G8" s="23">
        <v>337974.9539512502</v>
      </c>
      <c r="H8" s="23">
        <v>313351.5522765628</v>
      </c>
      <c r="I8" s="23">
        <v>341938.67091570655</v>
      </c>
    </row>
    <row r="9">
      <c r="B9" s="6" t="s">
        <v>75</v>
      </c>
      <c r="C9" s="23">
        <v>66860.99999999999</v>
      </c>
      <c r="D9" s="23">
        <v>88649.81999999999</v>
      </c>
      <c r="E9" s="23">
        <v>104027.84999999998</v>
      </c>
      <c r="F9" s="23">
        <v>117239.38694999997</v>
      </c>
      <c r="G9" s="23">
        <v>137576.83162499996</v>
      </c>
      <c r="H9" s="23">
        <v>147138.42142293745</v>
      </c>
      <c r="I9" s="23">
        <v>165570.2774398968</v>
      </c>
    </row>
    <row r="10">
      <c r="B10" s="24" t="s">
        <v>76</v>
      </c>
      <c r="C10" s="25">
        <f t="shared" ref="C10:I10" si="1">SUM(C8:C9)</f>
        <v>292977.8</v>
      </c>
      <c r="D10" s="25">
        <f t="shared" si="1"/>
        <v>352656.92</v>
      </c>
      <c r="E10" s="25">
        <f t="shared" si="1"/>
        <v>392921.2845</v>
      </c>
      <c r="F10" s="25">
        <f t="shared" si="1"/>
        <v>417241.1338</v>
      </c>
      <c r="G10" s="25">
        <f t="shared" si="1"/>
        <v>475551.7856</v>
      </c>
      <c r="H10" s="25">
        <f t="shared" si="1"/>
        <v>460489.9737</v>
      </c>
      <c r="I10" s="25">
        <f t="shared" si="1"/>
        <v>507508.9484</v>
      </c>
    </row>
    <row r="11">
      <c r="B11" s="2" t="s">
        <v>77</v>
      </c>
    </row>
    <row r="12">
      <c r="B12" s="6" t="s">
        <v>74</v>
      </c>
      <c r="C12" s="23">
        <v>52006.86400000001</v>
      </c>
      <c r="D12" s="23">
        <v>52801.42000000001</v>
      </c>
      <c r="E12" s="23">
        <v>69334.42428000004</v>
      </c>
      <c r="F12" s="23">
        <v>72000.41925000002</v>
      </c>
      <c r="G12" s="23">
        <v>54075.99263220003</v>
      </c>
      <c r="H12" s="23">
        <v>65803.82597807818</v>
      </c>
      <c r="I12" s="23">
        <v>64968.34747398424</v>
      </c>
    </row>
    <row r="13">
      <c r="B13" s="6" t="s">
        <v>75</v>
      </c>
      <c r="C13" s="23">
        <v>16715.249999999996</v>
      </c>
      <c r="D13" s="23">
        <v>22162.454999999998</v>
      </c>
      <c r="E13" s="23">
        <v>22886.126999999997</v>
      </c>
      <c r="F13" s="23">
        <v>38688.997693499994</v>
      </c>
      <c r="G13" s="23">
        <v>37145.74453874999</v>
      </c>
      <c r="H13" s="23">
        <v>41198.75799842249</v>
      </c>
      <c r="I13" s="23">
        <v>43048.27213437317</v>
      </c>
    </row>
    <row r="14">
      <c r="B14" s="26" t="s">
        <v>78</v>
      </c>
      <c r="C14" s="27">
        <f t="shared" ref="C14:I14" si="2">SUM(C12:C13)</f>
        <v>68722.114</v>
      </c>
      <c r="D14" s="27">
        <f t="shared" si="2"/>
        <v>74963.875</v>
      </c>
      <c r="E14" s="27">
        <f t="shared" si="2"/>
        <v>92220.55128</v>
      </c>
      <c r="F14" s="27">
        <f t="shared" si="2"/>
        <v>110689.4169</v>
      </c>
      <c r="G14" s="27">
        <f t="shared" si="2"/>
        <v>91221.73717</v>
      </c>
      <c r="H14" s="27">
        <f t="shared" si="2"/>
        <v>107002.584</v>
      </c>
      <c r="I14" s="27">
        <f t="shared" si="2"/>
        <v>108016.6196</v>
      </c>
    </row>
    <row r="15">
      <c r="B15" s="15" t="s">
        <v>79</v>
      </c>
      <c r="C15" s="28">
        <f t="shared" ref="C15:I15" si="3">C10-C14</f>
        <v>224255.686</v>
      </c>
      <c r="D15" s="28">
        <f t="shared" si="3"/>
        <v>277693.045</v>
      </c>
      <c r="E15" s="28">
        <f t="shared" si="3"/>
        <v>300700.7332</v>
      </c>
      <c r="F15" s="28">
        <f t="shared" si="3"/>
        <v>306551.7169</v>
      </c>
      <c r="G15" s="28">
        <f t="shared" si="3"/>
        <v>384330.0484</v>
      </c>
      <c r="H15" s="28">
        <f t="shared" si="3"/>
        <v>353487.3897</v>
      </c>
      <c r="I15" s="28">
        <f t="shared" si="3"/>
        <v>399492.3287</v>
      </c>
    </row>
    <row r="17">
      <c r="B17" s="29" t="s">
        <v>80</v>
      </c>
      <c r="C17" s="30">
        <f t="shared" ref="C17:I17" si="4">C15/C10</f>
        <v>0.7654357634</v>
      </c>
      <c r="D17" s="30">
        <f t="shared" si="4"/>
        <v>0.7874311526</v>
      </c>
      <c r="E17" s="30">
        <f t="shared" si="4"/>
        <v>0.7652950987</v>
      </c>
      <c r="F17" s="30">
        <f t="shared" si="4"/>
        <v>0.7347111587</v>
      </c>
      <c r="G17" s="30">
        <f t="shared" si="4"/>
        <v>0.8081770694</v>
      </c>
      <c r="H17" s="30">
        <f t="shared" si="4"/>
        <v>0.7676331949</v>
      </c>
      <c r="I17" s="30">
        <f t="shared" si="4"/>
        <v>0.787163123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5:I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10.43"/>
    <col customWidth="1" min="3" max="3" width="10.0"/>
    <col customWidth="1" min="4" max="5" width="8.86"/>
    <col customWidth="1" min="6" max="6" width="10.43"/>
    <col customWidth="1" min="7" max="8" width="8.86"/>
    <col customWidth="1" min="9" max="9" width="13.29"/>
    <col customWidth="1" min="10" max="10" width="12.0"/>
    <col customWidth="1" min="11" max="11" width="13.0"/>
    <col customWidth="1" min="12" max="12" width="15.71"/>
    <col customWidth="1" min="13" max="13" width="19.14"/>
    <col customWidth="1" min="14" max="47" width="8.86"/>
  </cols>
  <sheetData>
    <row r="2">
      <c r="B2" s="1" t="s">
        <v>81</v>
      </c>
      <c r="C2" s="1"/>
      <c r="D2" s="1"/>
      <c r="E2" s="20"/>
      <c r="F2" s="20"/>
      <c r="G2" s="20"/>
    </row>
    <row r="3">
      <c r="B3" s="9" t="s">
        <v>82</v>
      </c>
    </row>
    <row r="5">
      <c r="B5" s="31" t="s">
        <v>83</v>
      </c>
      <c r="C5" s="31" t="s">
        <v>84</v>
      </c>
      <c r="D5" s="31" t="s">
        <v>85</v>
      </c>
      <c r="E5" s="31" t="s">
        <v>86</v>
      </c>
      <c r="F5" s="31" t="s">
        <v>87</v>
      </c>
      <c r="G5" s="32" t="s">
        <v>88</v>
      </c>
    </row>
    <row r="6">
      <c r="B6" s="33">
        <v>43848.0</v>
      </c>
      <c r="C6" s="34">
        <v>1001.0</v>
      </c>
      <c r="D6" s="6" t="s">
        <v>89</v>
      </c>
      <c r="E6" s="6" t="s">
        <v>90</v>
      </c>
      <c r="F6" s="35">
        <v>530.0</v>
      </c>
      <c r="G6" s="9" t="str">
        <f t="shared" ref="G6:G31" si="1">YEAR(B6) &amp; " Q" &amp; ROUNDUP(MONTH(B6)/3, 0)</f>
        <v>2020 Q1</v>
      </c>
      <c r="I6" s="36" t="s">
        <v>88</v>
      </c>
      <c r="J6" s="37" t="s">
        <v>91</v>
      </c>
      <c r="K6" s="37" t="s">
        <v>47</v>
      </c>
      <c r="L6" s="37" t="s">
        <v>92</v>
      </c>
      <c r="M6" s="38"/>
    </row>
    <row r="7">
      <c r="B7" s="33">
        <v>43870.0</v>
      </c>
      <c r="C7" s="34">
        <v>1002.0</v>
      </c>
      <c r="D7" s="6" t="s">
        <v>93</v>
      </c>
      <c r="E7" s="6" t="s">
        <v>94</v>
      </c>
      <c r="F7" s="35">
        <v>550.0</v>
      </c>
      <c r="G7" s="9" t="str">
        <f t="shared" si="1"/>
        <v>2020 Q1</v>
      </c>
      <c r="I7" s="39" t="s">
        <v>95</v>
      </c>
      <c r="J7" s="40">
        <v>3.0</v>
      </c>
      <c r="K7" s="41">
        <v>1620.0</v>
      </c>
      <c r="L7" s="41">
        <v>540.0</v>
      </c>
    </row>
    <row r="8">
      <c r="B8" s="33">
        <v>43897.0</v>
      </c>
      <c r="C8" s="34">
        <v>1003.0</v>
      </c>
      <c r="D8" s="6" t="s">
        <v>96</v>
      </c>
      <c r="E8" s="6" t="s">
        <v>97</v>
      </c>
      <c r="F8" s="35">
        <v>540.0</v>
      </c>
      <c r="G8" s="9" t="str">
        <f t="shared" si="1"/>
        <v>2020 Q1</v>
      </c>
      <c r="I8" s="39" t="s">
        <v>98</v>
      </c>
      <c r="J8" s="40">
        <v>5.0</v>
      </c>
      <c r="K8" s="41">
        <v>4060.0</v>
      </c>
      <c r="L8" s="41">
        <v>812.0</v>
      </c>
    </row>
    <row r="9">
      <c r="B9" s="33">
        <v>43924.0</v>
      </c>
      <c r="C9" s="34">
        <v>1004.0</v>
      </c>
      <c r="D9" s="6" t="s">
        <v>99</v>
      </c>
      <c r="E9" s="6" t="s">
        <v>100</v>
      </c>
      <c r="F9" s="35">
        <v>630.0</v>
      </c>
      <c r="G9" s="9" t="str">
        <f t="shared" si="1"/>
        <v>2020 Q2</v>
      </c>
      <c r="I9" s="39" t="s">
        <v>101</v>
      </c>
      <c r="J9" s="40">
        <v>4.0</v>
      </c>
      <c r="K9" s="41">
        <v>3210.0</v>
      </c>
      <c r="L9" s="41">
        <v>802.5</v>
      </c>
    </row>
    <row r="10">
      <c r="B10" s="33">
        <v>43951.0</v>
      </c>
      <c r="C10" s="34">
        <v>1005.0</v>
      </c>
      <c r="D10" s="6" t="s">
        <v>102</v>
      </c>
      <c r="E10" s="6" t="s">
        <v>103</v>
      </c>
      <c r="F10" s="35">
        <v>880.0</v>
      </c>
      <c r="G10" s="9" t="str">
        <f t="shared" si="1"/>
        <v>2020 Q2</v>
      </c>
      <c r="I10" s="39" t="s">
        <v>104</v>
      </c>
      <c r="J10" s="40">
        <v>4.0</v>
      </c>
      <c r="K10" s="41">
        <v>2580.0</v>
      </c>
      <c r="L10" s="41">
        <v>645.0</v>
      </c>
    </row>
    <row r="11">
      <c r="B11" s="33">
        <v>43978.0</v>
      </c>
      <c r="C11" s="34">
        <v>1006.0</v>
      </c>
      <c r="D11" s="6" t="s">
        <v>105</v>
      </c>
      <c r="E11" s="6" t="s">
        <v>106</v>
      </c>
      <c r="F11" s="35">
        <v>800.0</v>
      </c>
      <c r="G11" s="9" t="str">
        <f t="shared" si="1"/>
        <v>2020 Q2</v>
      </c>
      <c r="I11" s="39" t="s">
        <v>107</v>
      </c>
      <c r="J11" s="40">
        <v>3.0</v>
      </c>
      <c r="K11" s="41">
        <v>2500.0</v>
      </c>
      <c r="L11" s="41">
        <v>833.3333333333334</v>
      </c>
    </row>
    <row r="12">
      <c r="B12" s="33">
        <v>43993.0</v>
      </c>
      <c r="C12" s="34">
        <v>1007.0</v>
      </c>
      <c r="D12" s="6" t="s">
        <v>108</v>
      </c>
      <c r="E12" s="6" t="s">
        <v>109</v>
      </c>
      <c r="F12" s="35">
        <v>900.0</v>
      </c>
      <c r="G12" s="9" t="str">
        <f t="shared" si="1"/>
        <v>2020 Q2</v>
      </c>
      <c r="I12" s="39" t="s">
        <v>110</v>
      </c>
      <c r="J12" s="40">
        <v>3.0</v>
      </c>
      <c r="K12" s="41">
        <v>2060.0</v>
      </c>
      <c r="L12" s="41">
        <v>686.6666666666666</v>
      </c>
    </row>
    <row r="13">
      <c r="B13" s="33">
        <v>44008.0</v>
      </c>
      <c r="C13" s="34">
        <v>1008.0</v>
      </c>
      <c r="D13" s="6" t="s">
        <v>111</v>
      </c>
      <c r="E13" s="6" t="s">
        <v>112</v>
      </c>
      <c r="F13" s="35">
        <v>850.0</v>
      </c>
      <c r="G13" s="9" t="str">
        <f t="shared" si="1"/>
        <v>2020 Q2</v>
      </c>
      <c r="I13" s="39" t="s">
        <v>113</v>
      </c>
      <c r="J13" s="40">
        <v>3.0</v>
      </c>
      <c r="K13" s="41">
        <v>1950.0</v>
      </c>
      <c r="L13" s="41">
        <v>650.0</v>
      </c>
    </row>
    <row r="14">
      <c r="B14" s="33">
        <v>44023.0</v>
      </c>
      <c r="C14" s="34">
        <v>1009.0</v>
      </c>
      <c r="D14" s="6" t="s">
        <v>114</v>
      </c>
      <c r="E14" s="6" t="s">
        <v>115</v>
      </c>
      <c r="F14" s="35">
        <v>930.0</v>
      </c>
      <c r="G14" s="9" t="str">
        <f t="shared" si="1"/>
        <v>2020 Q3</v>
      </c>
      <c r="I14" s="39" t="s">
        <v>116</v>
      </c>
      <c r="J14" s="40">
        <v>1.0</v>
      </c>
      <c r="K14" s="41">
        <v>780.0</v>
      </c>
      <c r="L14" s="41">
        <v>780.0</v>
      </c>
    </row>
    <row r="15">
      <c r="B15" s="33">
        <v>44038.0</v>
      </c>
      <c r="C15" s="34">
        <v>1010.0</v>
      </c>
      <c r="D15" s="6" t="s">
        <v>117</v>
      </c>
      <c r="E15" s="6" t="s">
        <v>118</v>
      </c>
      <c r="F15" s="35">
        <v>750.0</v>
      </c>
      <c r="G15" s="9" t="str">
        <f t="shared" si="1"/>
        <v>2020 Q3</v>
      </c>
      <c r="I15" s="42"/>
      <c r="J15" s="43"/>
      <c r="K15" s="44"/>
      <c r="L15" s="44"/>
    </row>
    <row r="16">
      <c r="B16" s="33">
        <v>44061.0</v>
      </c>
      <c r="C16" s="34">
        <v>1011.0</v>
      </c>
      <c r="D16" s="6" t="s">
        <v>119</v>
      </c>
      <c r="E16" s="6" t="s">
        <v>120</v>
      </c>
      <c r="F16" s="35">
        <v>960.0</v>
      </c>
      <c r="G16" s="9" t="str">
        <f t="shared" si="1"/>
        <v>2020 Q3</v>
      </c>
    </row>
    <row r="17">
      <c r="B17" s="33">
        <v>44084.0</v>
      </c>
      <c r="C17" s="34">
        <v>1012.0</v>
      </c>
      <c r="D17" s="6" t="s">
        <v>94</v>
      </c>
      <c r="E17" s="6" t="s">
        <v>121</v>
      </c>
      <c r="F17" s="35">
        <v>570.0</v>
      </c>
      <c r="G17" s="9" t="str">
        <f t="shared" si="1"/>
        <v>2020 Q3</v>
      </c>
    </row>
    <row r="18">
      <c r="B18" s="33">
        <v>44107.0</v>
      </c>
      <c r="C18" s="34">
        <v>1013.0</v>
      </c>
      <c r="D18" s="6" t="s">
        <v>122</v>
      </c>
      <c r="E18" s="6" t="s">
        <v>123</v>
      </c>
      <c r="F18" s="35">
        <v>570.0</v>
      </c>
      <c r="G18" s="9" t="str">
        <f t="shared" si="1"/>
        <v>2020 Q4</v>
      </c>
    </row>
    <row r="19">
      <c r="B19" s="33">
        <v>44130.0</v>
      </c>
      <c r="C19" s="34">
        <v>1014.0</v>
      </c>
      <c r="D19" s="6" t="s">
        <v>124</v>
      </c>
      <c r="E19" s="6" t="s">
        <v>125</v>
      </c>
      <c r="F19" s="35">
        <v>660.0</v>
      </c>
      <c r="G19" s="9" t="str">
        <f t="shared" si="1"/>
        <v>2020 Q4</v>
      </c>
    </row>
    <row r="20">
      <c r="B20" s="33">
        <v>44156.0</v>
      </c>
      <c r="C20" s="34">
        <v>1015.0</v>
      </c>
      <c r="D20" s="6" t="s">
        <v>126</v>
      </c>
      <c r="E20" s="6" t="s">
        <v>127</v>
      </c>
      <c r="F20" s="35">
        <v>800.0</v>
      </c>
      <c r="G20" s="9" t="str">
        <f t="shared" si="1"/>
        <v>2020 Q4</v>
      </c>
    </row>
    <row r="21" ht="15.75" customHeight="1">
      <c r="B21" s="33">
        <v>44182.0</v>
      </c>
      <c r="C21" s="34">
        <v>1016.0</v>
      </c>
      <c r="D21" s="6" t="s">
        <v>128</v>
      </c>
      <c r="E21" s="6" t="s">
        <v>129</v>
      </c>
      <c r="F21" s="35">
        <v>550.0</v>
      </c>
      <c r="G21" s="9" t="str">
        <f t="shared" si="1"/>
        <v>2020 Q4</v>
      </c>
    </row>
    <row r="22" ht="15.75" customHeight="1">
      <c r="B22" s="33">
        <v>44208.0</v>
      </c>
      <c r="C22" s="34">
        <v>1017.0</v>
      </c>
      <c r="D22" s="6" t="s">
        <v>130</v>
      </c>
      <c r="E22" s="6" t="s">
        <v>131</v>
      </c>
      <c r="F22" s="35">
        <v>910.0</v>
      </c>
      <c r="G22" s="9" t="str">
        <f t="shared" si="1"/>
        <v>2021 Q1</v>
      </c>
    </row>
    <row r="23" ht="15.75" customHeight="1">
      <c r="B23" s="33">
        <v>44234.0</v>
      </c>
      <c r="C23" s="34">
        <v>1018.0</v>
      </c>
      <c r="D23" s="6" t="s">
        <v>132</v>
      </c>
      <c r="E23" s="6" t="s">
        <v>133</v>
      </c>
      <c r="F23" s="35">
        <v>880.0</v>
      </c>
      <c r="G23" s="9" t="str">
        <f t="shared" si="1"/>
        <v>2021 Q1</v>
      </c>
    </row>
    <row r="24" ht="15.75" customHeight="1">
      <c r="B24" s="33">
        <v>44260.0</v>
      </c>
      <c r="C24" s="34">
        <v>1019.0</v>
      </c>
      <c r="D24" s="6" t="s">
        <v>134</v>
      </c>
      <c r="E24" s="6" t="s">
        <v>135</v>
      </c>
      <c r="F24" s="35">
        <v>710.0</v>
      </c>
      <c r="G24" s="9" t="str">
        <f t="shared" si="1"/>
        <v>2021 Q1</v>
      </c>
    </row>
    <row r="25" ht="15.75" customHeight="1">
      <c r="B25" s="33">
        <v>44297.0</v>
      </c>
      <c r="C25" s="34">
        <v>1020.0</v>
      </c>
      <c r="D25" s="6" t="s">
        <v>136</v>
      </c>
      <c r="E25" s="6" t="s">
        <v>137</v>
      </c>
      <c r="F25" s="35">
        <v>500.0</v>
      </c>
      <c r="G25" s="9" t="str">
        <f t="shared" si="1"/>
        <v>2021 Q2</v>
      </c>
    </row>
    <row r="26" ht="15.75" customHeight="1">
      <c r="B26" s="33">
        <v>44334.0</v>
      </c>
      <c r="C26" s="34">
        <v>1021.0</v>
      </c>
      <c r="D26" s="6" t="s">
        <v>138</v>
      </c>
      <c r="E26" s="6" t="s">
        <v>139</v>
      </c>
      <c r="F26" s="35">
        <v>680.0</v>
      </c>
      <c r="G26" s="9" t="str">
        <f t="shared" si="1"/>
        <v>2021 Q2</v>
      </c>
    </row>
    <row r="27" ht="15.75" customHeight="1">
      <c r="B27" s="33">
        <v>44371.0</v>
      </c>
      <c r="C27" s="34">
        <v>1022.0</v>
      </c>
      <c r="D27" s="6" t="s">
        <v>140</v>
      </c>
      <c r="E27" s="6" t="s">
        <v>141</v>
      </c>
      <c r="F27" s="35">
        <v>880.0</v>
      </c>
      <c r="G27" s="9" t="str">
        <f t="shared" si="1"/>
        <v>2021 Q2</v>
      </c>
    </row>
    <row r="28" ht="15.75" customHeight="1">
      <c r="B28" s="33">
        <v>44408.0</v>
      </c>
      <c r="C28" s="34">
        <v>1023.0</v>
      </c>
      <c r="D28" s="6" t="s">
        <v>142</v>
      </c>
      <c r="E28" s="6" t="s">
        <v>143</v>
      </c>
      <c r="F28" s="35">
        <v>510.0</v>
      </c>
      <c r="G28" s="9" t="str">
        <f t="shared" si="1"/>
        <v>2021 Q3</v>
      </c>
    </row>
    <row r="29" ht="15.75" customHeight="1">
      <c r="B29" s="33">
        <v>44445.0</v>
      </c>
      <c r="C29" s="34">
        <v>1024.0</v>
      </c>
      <c r="D29" s="6" t="s">
        <v>144</v>
      </c>
      <c r="E29" s="6" t="s">
        <v>145</v>
      </c>
      <c r="F29" s="35">
        <v>810.0</v>
      </c>
      <c r="G29" s="9" t="str">
        <f t="shared" si="1"/>
        <v>2021 Q3</v>
      </c>
    </row>
    <row r="30" ht="15.75" customHeight="1">
      <c r="B30" s="33">
        <v>44463.0</v>
      </c>
      <c r="C30" s="34">
        <v>1025.0</v>
      </c>
      <c r="D30" s="6" t="s">
        <v>146</v>
      </c>
      <c r="E30" s="6" t="s">
        <v>147</v>
      </c>
      <c r="F30" s="35">
        <v>630.0</v>
      </c>
      <c r="G30" s="9" t="str">
        <f t="shared" si="1"/>
        <v>2021 Q3</v>
      </c>
    </row>
    <row r="31" ht="15.75" customHeight="1">
      <c r="B31" s="33">
        <v>44553.0</v>
      </c>
      <c r="C31" s="34">
        <v>1030.0</v>
      </c>
      <c r="D31" s="6" t="s">
        <v>148</v>
      </c>
      <c r="E31" s="6" t="s">
        <v>149</v>
      </c>
      <c r="F31" s="35">
        <v>780.0</v>
      </c>
      <c r="G31" s="9" t="str">
        <f t="shared" si="1"/>
        <v>2021 Q4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8.86"/>
    <col customWidth="1" min="4" max="4" width="10.43"/>
    <col customWidth="1" min="5" max="5" width="12.86"/>
    <col customWidth="1" min="6" max="8" width="8.86"/>
    <col customWidth="1" min="9" max="9" width="15.57"/>
    <col customWidth="1" min="10" max="26" width="8.86"/>
  </cols>
  <sheetData>
    <row r="2">
      <c r="B2" s="9" t="s">
        <v>150</v>
      </c>
    </row>
    <row r="3">
      <c r="J3" s="45"/>
    </row>
    <row r="4">
      <c r="C4" s="9" t="s">
        <v>41</v>
      </c>
    </row>
    <row r="5">
      <c r="D5" s="9" t="s">
        <v>151</v>
      </c>
      <c r="E5" s="9" t="s">
        <v>152</v>
      </c>
      <c r="F5" s="46">
        <v>1001.0</v>
      </c>
      <c r="G5" s="9" t="s">
        <v>153</v>
      </c>
      <c r="H5" s="9" t="s">
        <v>154</v>
      </c>
      <c r="I5" s="9" t="s">
        <v>155</v>
      </c>
      <c r="J5" s="45">
        <v>301.0</v>
      </c>
      <c r="K5" s="9" t="s">
        <v>156</v>
      </c>
      <c r="L5" s="47" t="s">
        <v>157</v>
      </c>
      <c r="O5" s="9" t="str">
        <f t="shared" ref="O5:O19" si="1">CONCAT(D5:L5)</f>
        <v>#N/A</v>
      </c>
    </row>
    <row r="6">
      <c r="D6" s="9" t="s">
        <v>158</v>
      </c>
      <c r="E6" s="9" t="s">
        <v>152</v>
      </c>
      <c r="F6" s="46">
        <v>1002.0</v>
      </c>
      <c r="G6" s="9" t="s">
        <v>153</v>
      </c>
      <c r="H6" s="9" t="s">
        <v>154</v>
      </c>
      <c r="I6" s="9" t="s">
        <v>155</v>
      </c>
      <c r="J6" s="45">
        <v>238.0</v>
      </c>
      <c r="K6" s="9" t="s">
        <v>156</v>
      </c>
      <c r="L6" s="47" t="s">
        <v>159</v>
      </c>
      <c r="O6" s="9" t="str">
        <f t="shared" si="1"/>
        <v>#N/A</v>
      </c>
    </row>
    <row r="7">
      <c r="D7" s="9" t="s">
        <v>160</v>
      </c>
      <c r="E7" s="9" t="s">
        <v>152</v>
      </c>
      <c r="F7" s="46">
        <v>1003.0</v>
      </c>
      <c r="G7" s="9" t="s">
        <v>161</v>
      </c>
      <c r="H7" s="9" t="s">
        <v>162</v>
      </c>
      <c r="I7" s="9" t="s">
        <v>155</v>
      </c>
      <c r="J7" s="45">
        <v>294.0</v>
      </c>
      <c r="K7" s="9" t="s">
        <v>156</v>
      </c>
      <c r="L7" s="47" t="s">
        <v>163</v>
      </c>
      <c r="O7" s="9" t="str">
        <f t="shared" si="1"/>
        <v>#N/A</v>
      </c>
    </row>
    <row r="8">
      <c r="D8" s="9" t="s">
        <v>164</v>
      </c>
      <c r="E8" s="9" t="s">
        <v>152</v>
      </c>
      <c r="F8" s="46">
        <v>1004.0</v>
      </c>
      <c r="G8" s="9" t="s">
        <v>161</v>
      </c>
      <c r="H8" s="9" t="s">
        <v>162</v>
      </c>
      <c r="I8" s="9" t="s">
        <v>155</v>
      </c>
      <c r="J8" s="45">
        <v>238.0</v>
      </c>
      <c r="K8" s="9" t="s">
        <v>156</v>
      </c>
      <c r="L8" s="47" t="s">
        <v>165</v>
      </c>
      <c r="O8" s="9" t="str">
        <f t="shared" si="1"/>
        <v>#N/A</v>
      </c>
    </row>
    <row r="9">
      <c r="D9" s="9" t="s">
        <v>166</v>
      </c>
      <c r="E9" s="9" t="s">
        <v>152</v>
      </c>
      <c r="F9" s="46">
        <v>1005.0</v>
      </c>
      <c r="G9" s="9" t="s">
        <v>161</v>
      </c>
      <c r="H9" s="9" t="s">
        <v>162</v>
      </c>
      <c r="I9" s="9" t="s">
        <v>155</v>
      </c>
      <c r="J9" s="45">
        <v>294.0</v>
      </c>
      <c r="K9" s="9" t="s">
        <v>156</v>
      </c>
      <c r="L9" s="47" t="s">
        <v>167</v>
      </c>
      <c r="O9" s="9" t="str">
        <f t="shared" si="1"/>
        <v>#N/A</v>
      </c>
    </row>
    <row r="10">
      <c r="D10" s="9" t="s">
        <v>168</v>
      </c>
      <c r="E10" s="9" t="s">
        <v>152</v>
      </c>
      <c r="F10" s="46">
        <v>1006.0</v>
      </c>
      <c r="G10" s="9" t="s">
        <v>169</v>
      </c>
      <c r="H10" s="9" t="s">
        <v>170</v>
      </c>
      <c r="I10" s="9" t="s">
        <v>155</v>
      </c>
      <c r="J10" s="45">
        <v>308.0</v>
      </c>
      <c r="K10" s="9" t="s">
        <v>156</v>
      </c>
      <c r="L10" s="47" t="s">
        <v>171</v>
      </c>
      <c r="O10" s="9" t="str">
        <f t="shared" si="1"/>
        <v>#N/A</v>
      </c>
    </row>
    <row r="11">
      <c r="D11" s="9" t="s">
        <v>172</v>
      </c>
      <c r="E11" s="9" t="s">
        <v>152</v>
      </c>
      <c r="F11" s="46">
        <v>1007.0</v>
      </c>
      <c r="G11" s="9" t="s">
        <v>169</v>
      </c>
      <c r="H11" s="9" t="s">
        <v>170</v>
      </c>
      <c r="I11" s="9" t="s">
        <v>155</v>
      </c>
      <c r="J11" s="45">
        <v>339.5</v>
      </c>
      <c r="K11" s="9" t="s">
        <v>156</v>
      </c>
      <c r="L11" s="47" t="s">
        <v>173</v>
      </c>
      <c r="O11" s="9" t="str">
        <f t="shared" si="1"/>
        <v>#N/A</v>
      </c>
    </row>
    <row r="12">
      <c r="D12" s="9" t="s">
        <v>174</v>
      </c>
      <c r="E12" s="9" t="s">
        <v>152</v>
      </c>
      <c r="F12" s="46">
        <v>1008.0</v>
      </c>
      <c r="G12" s="9" t="s">
        <v>169</v>
      </c>
      <c r="H12" s="9" t="s">
        <v>170</v>
      </c>
      <c r="I12" s="9" t="s">
        <v>155</v>
      </c>
      <c r="J12" s="45">
        <v>332.5</v>
      </c>
      <c r="K12" s="9" t="s">
        <v>156</v>
      </c>
      <c r="L12" s="47" t="s">
        <v>175</v>
      </c>
      <c r="O12" s="9" t="str">
        <f t="shared" si="1"/>
        <v>#N/A</v>
      </c>
    </row>
    <row r="13">
      <c r="D13" s="9" t="s">
        <v>176</v>
      </c>
      <c r="E13" s="9" t="s">
        <v>152</v>
      </c>
      <c r="F13" s="46">
        <v>1009.0</v>
      </c>
      <c r="G13" s="9" t="s">
        <v>177</v>
      </c>
      <c r="H13" s="9" t="s">
        <v>178</v>
      </c>
      <c r="I13" s="9" t="s">
        <v>155</v>
      </c>
      <c r="J13" s="45">
        <v>318.5</v>
      </c>
      <c r="K13" s="9" t="s">
        <v>156</v>
      </c>
      <c r="L13" s="47" t="s">
        <v>179</v>
      </c>
      <c r="O13" s="9" t="str">
        <f t="shared" si="1"/>
        <v>#N/A</v>
      </c>
    </row>
    <row r="14">
      <c r="D14" s="9" t="s">
        <v>180</v>
      </c>
      <c r="E14" s="9" t="s">
        <v>152</v>
      </c>
      <c r="F14" s="46">
        <v>1010.0</v>
      </c>
      <c r="G14" s="9" t="s">
        <v>177</v>
      </c>
      <c r="H14" s="9" t="s">
        <v>178</v>
      </c>
      <c r="I14" s="9" t="s">
        <v>155</v>
      </c>
      <c r="J14" s="45">
        <v>273.0</v>
      </c>
      <c r="K14" s="9" t="s">
        <v>156</v>
      </c>
      <c r="L14" s="47" t="s">
        <v>181</v>
      </c>
      <c r="O14" s="9" t="str">
        <f t="shared" si="1"/>
        <v>#N/A</v>
      </c>
    </row>
    <row r="15">
      <c r="D15" s="9" t="s">
        <v>182</v>
      </c>
      <c r="E15" s="9" t="s">
        <v>152</v>
      </c>
      <c r="F15" s="46">
        <v>1011.0</v>
      </c>
      <c r="G15" s="9" t="s">
        <v>177</v>
      </c>
      <c r="H15" s="9" t="s">
        <v>178</v>
      </c>
      <c r="I15" s="9" t="s">
        <v>155</v>
      </c>
      <c r="J15" s="45">
        <v>252.0</v>
      </c>
      <c r="K15" s="9" t="s">
        <v>156</v>
      </c>
      <c r="L15" s="47" t="s">
        <v>183</v>
      </c>
      <c r="O15" s="9" t="str">
        <f t="shared" si="1"/>
        <v>#N/A</v>
      </c>
    </row>
    <row r="16">
      <c r="D16" s="9" t="s">
        <v>184</v>
      </c>
      <c r="E16" s="9" t="s">
        <v>152</v>
      </c>
      <c r="F16" s="46">
        <v>1012.0</v>
      </c>
      <c r="G16" s="9" t="s">
        <v>185</v>
      </c>
      <c r="H16" s="9" t="s">
        <v>186</v>
      </c>
      <c r="I16" s="9" t="s">
        <v>155</v>
      </c>
      <c r="J16" s="45">
        <v>346.5</v>
      </c>
      <c r="K16" s="9" t="s">
        <v>156</v>
      </c>
      <c r="L16" s="47" t="s">
        <v>187</v>
      </c>
      <c r="O16" s="9" t="str">
        <f t="shared" si="1"/>
        <v>#N/A</v>
      </c>
    </row>
    <row r="17">
      <c r="D17" s="9" t="s">
        <v>188</v>
      </c>
      <c r="E17" s="9" t="s">
        <v>152</v>
      </c>
      <c r="F17" s="46">
        <v>1013.0</v>
      </c>
      <c r="G17" s="9" t="s">
        <v>185</v>
      </c>
      <c r="H17" s="9" t="s">
        <v>186</v>
      </c>
      <c r="I17" s="9" t="s">
        <v>155</v>
      </c>
      <c r="J17" s="45">
        <v>339.5</v>
      </c>
      <c r="K17" s="9" t="s">
        <v>156</v>
      </c>
      <c r="L17" s="47" t="s">
        <v>189</v>
      </c>
      <c r="O17" s="9" t="str">
        <f t="shared" si="1"/>
        <v>#N/A</v>
      </c>
    </row>
    <row r="18">
      <c r="D18" s="9" t="s">
        <v>190</v>
      </c>
      <c r="E18" s="9" t="s">
        <v>152</v>
      </c>
      <c r="F18" s="46">
        <v>1014.0</v>
      </c>
      <c r="G18" s="9" t="s">
        <v>185</v>
      </c>
      <c r="H18" s="9" t="s">
        <v>186</v>
      </c>
      <c r="I18" s="9" t="s">
        <v>155</v>
      </c>
      <c r="J18" s="45">
        <v>308.0</v>
      </c>
      <c r="K18" s="9" t="s">
        <v>156</v>
      </c>
      <c r="L18" s="47" t="s">
        <v>191</v>
      </c>
      <c r="O18" s="9" t="str">
        <f t="shared" si="1"/>
        <v>#N/A</v>
      </c>
    </row>
    <row r="19">
      <c r="D19" s="9" t="s">
        <v>192</v>
      </c>
      <c r="E19" s="9" t="s">
        <v>152</v>
      </c>
      <c r="F19" s="46">
        <v>1015.0</v>
      </c>
      <c r="G19" s="9" t="s">
        <v>185</v>
      </c>
      <c r="H19" s="9" t="s">
        <v>186</v>
      </c>
      <c r="I19" s="9" t="s">
        <v>155</v>
      </c>
      <c r="J19" s="45">
        <v>252.0</v>
      </c>
      <c r="K19" s="9" t="s">
        <v>156</v>
      </c>
      <c r="L19" s="47" t="s">
        <v>193</v>
      </c>
      <c r="O19" s="9" t="str">
        <f t="shared" si="1"/>
        <v>#N/A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L5"/>
    <hyperlink r:id="rId2" ref="L6"/>
    <hyperlink r:id="rId3" ref="L7"/>
    <hyperlink r:id="rId4" ref="L8"/>
    <hyperlink r:id="rId5" ref="L9"/>
    <hyperlink r:id="rId6" ref="L10"/>
    <hyperlink r:id="rId7" ref="L11"/>
    <hyperlink r:id="rId8" ref="L12"/>
    <hyperlink r:id="rId9" ref="L13"/>
    <hyperlink r:id="rId10" ref="L14"/>
    <hyperlink r:id="rId11" ref="L15"/>
    <hyperlink r:id="rId12" ref="L16"/>
    <hyperlink r:id="rId13" ref="L17"/>
    <hyperlink r:id="rId14" ref="L18"/>
    <hyperlink r:id="rId15" ref="L19"/>
  </hyperlinks>
  <printOptions/>
  <pageMargins bottom="0.75" footer="0.0" header="0.0" left="0.7" right="0.7" top="0.75"/>
  <pageSetup orientation="landscape"/>
  <drawing r:id="rId16"/>
</worksheet>
</file>