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2.xml" ContentType="application/vnd.ms-excel.slicer+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4.xml" ContentType="application/vnd.openxmlformats-officedocument.drawing+xml"/>
  <Override PartName="/xl/tables/table1.xml" ContentType="application/vnd.openxmlformats-officedocument.spreadsheetml.tab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HP ELITEBOOK\Desktop\Project\"/>
    </mc:Choice>
  </mc:AlternateContent>
  <xr:revisionPtr revIDLastSave="0" documentId="13_ncr:1_{87F5FCD6-748D-4B01-95BE-F8C5BB661FC8}" xr6:coauthVersionLast="47" xr6:coauthVersionMax="47" xr10:uidLastSave="{00000000-0000-0000-0000-000000000000}"/>
  <bookViews>
    <workbookView xWindow="-110" yWindow="-110" windowWidth="19420" windowHeight="10300" xr2:uid="{6B391B01-5D77-474F-B55F-2C501041A0AF}"/>
  </bookViews>
  <sheets>
    <sheet name="Overview" sheetId="1" r:id="rId1"/>
    <sheet name="Performance" sheetId="10" r:id="rId2"/>
    <sheet name="Pivot_Tables" sheetId="5" r:id="rId3"/>
    <sheet name="Pivot_Tables_Performance" sheetId="11" r:id="rId4"/>
  </sheets>
  <definedNames>
    <definedName name="_xlnm._FilterDatabase" localSheetId="2" hidden="1">Pivot_Tables!$F$20:$G$68</definedName>
    <definedName name="_xlchart.v2.4" hidden="1">Pivot_Tables!$F$14:$F$17</definedName>
    <definedName name="_xlchart.v2.5" hidden="1">Pivot_Tables!$G$14:$G$17</definedName>
    <definedName name="_xlchart.v5.0" hidden="1">Pivot_Tables!$F$19</definedName>
    <definedName name="_xlchart.v5.1" hidden="1">Pivot_Tables!$F$20:$F$67</definedName>
    <definedName name="_xlchart.v5.2" hidden="1">Pivot_Tables!$G$19</definedName>
    <definedName name="_xlchart.v5.3" hidden="1">Pivot_Tables!$G$20:$G$67</definedName>
    <definedName name="_xlcn.WorksheetConnection_Bayan_Sales_Dashboard.xlsxView" hidden="1">View[]</definedName>
    <definedName name="Filter">Pivot_Tables_Performance!$AE$25</definedName>
    <definedName name="Selected_product">Pivot_Tables_Performance!$AE$26</definedName>
    <definedName name="Slicer_Date__Year">#N/A</definedName>
    <definedName name="Slicer_Person">#N/A</definedName>
    <definedName name="Slicer_Region1">#N/A</definedName>
    <definedName name="Slicer_View">#N/A</definedName>
    <definedName name="Slicer_Year">#N/A</definedName>
  </definedNames>
  <calcPr calcId="191029"/>
  <pivotCaches>
    <pivotCache cacheId="0" r:id="rId5"/>
    <pivotCache cacheId="31" r:id="rId6"/>
    <pivotCache cacheId="34" r:id="rId7"/>
    <pivotCache cacheId="37" r:id="rId8"/>
    <pivotCache cacheId="40" r:id="rId9"/>
    <pivotCache cacheId="43" r:id="rId10"/>
    <pivotCache cacheId="46" r:id="rId11"/>
    <pivotCache cacheId="49" r:id="rId12"/>
    <pivotCache cacheId="52" r:id="rId13"/>
    <pivotCache cacheId="55" r:id="rId14"/>
    <pivotCache cacheId="58" r:id="rId15"/>
    <pivotCache cacheId="61" r:id="rId16"/>
    <pivotCache cacheId="340" r:id="rId17"/>
    <pivotCache cacheId="367" r:id="rId18"/>
    <pivotCache cacheId="370" r:id="rId19"/>
    <pivotCache cacheId="409" r:id="rId20"/>
    <pivotCache cacheId="412" r:id="rId21"/>
    <pivotCache cacheId="415" r:id="rId22"/>
    <pivotCache cacheId="418" r:id="rId23"/>
    <pivotCache cacheId="421" r:id="rId24"/>
    <pivotCache cacheId="424" r:id="rId25"/>
    <pivotCache cacheId="427" r:id="rId26"/>
    <pivotCache cacheId="430" r:id="rId27"/>
    <pivotCache cacheId="433" r:id="rId28"/>
    <pivotCache cacheId="436" r:id="rId29"/>
  </pivotCaches>
  <extLst>
    <ext xmlns:x14="http://schemas.microsoft.com/office/spreadsheetml/2009/9/main" uri="{876F7934-8845-4945-9796-88D515C7AA90}">
      <x14:pivotCaches>
        <pivotCache cacheId="25" r:id="rId30"/>
        <pivotCache cacheId="26" r:id="rId31"/>
      </x14:pivotCaches>
    </ext>
    <ext xmlns:x14="http://schemas.microsoft.com/office/spreadsheetml/2009/9/main" uri="{BBE1A952-AA13-448e-AADC-164F8A28A991}">
      <x14:slicerCaches>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841E416B-1EF1-43b6-AB56-02D37102CBD5}">
      <x15:pivotCaches>
        <pivotCache cacheId="27" r:id="rId37"/>
        <pivotCache cacheId="28" r:id="rId38"/>
      </x15:pivotCaches>
    </ext>
    <ext xmlns:x15="http://schemas.microsoft.com/office/spreadsheetml/2010/11/main" uri="{983426D0-5260-488c-9760-48F4B6AC55F4}">
      <x15:pivotTableReferences>
        <x15:pivotTableReference r:id="rId39"/>
        <x15:pivotTableReference r:id="rId40"/>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per_Store_data_231188c8-e375-4878-a196-a18c5458ddfd" name="Super_Store_data" connection="Query - Super_Store_data"/>
          <x15:modelTable id="People_9e3d6a2a-26ee-4313-b5d0-3575b189b4f5" name="People" connection="Query - People"/>
          <x15:modelTable id="Returns_e33316da-4ab2-4428-b8fe-d57e2a9a8fe9" name="Returns" connection="Query - Returns"/>
          <x15:modelTable id="Calendar_5b9924f8-1102-4348-a010-734b9503cd85" name="Calendar" connection="Query - Calendar"/>
          <x15:modelTable id="hCalendar_c9c44c3d-57b2-4e13-b68a-425fddc4059b" name="hCalendar" connection="Query - hCalendar"/>
          <x15:modelTable id="View" name="View" connection="WorksheetConnection_Bayan_Sales_Dashboard.xlsx!View"/>
        </x15:modelTables>
        <x15:modelRelationships>
          <x15:modelRelationship fromTable="Super_Store_data" fromColumn="Region" toTable="People" toColumn="Region"/>
          <x15:modelRelationship fromTable="Super_Store_data" fromColumn="Order ID" toTable="Returns" toColumn="Order ID"/>
          <x15:modelRelationship fromTable="Super_Store_data" fromColumn="Order Date" toTable="Calendar" toColumn="Date"/>
        </x15:modelRelationships>
        <x15:extLst>
          <ext xmlns:x16="http://schemas.microsoft.com/office/spreadsheetml/2014/11/main" uri="{9835A34E-60A6-4A7C-AAB8-D5F71C897F49}">
            <x16:modelTimeGroupings>
              <x16:modelTimeGrouping tableName="Calendar" columnName="Date" columnId="Date">
                <x16:calculatedTimeColumn columnName="Date (Year)" columnId="Date (Year)" contentType="years" isSelected="0"/>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modelTimeGrouping>
              <x16:modelTimeGrouping tableName="Super_Store_data"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1" l="1"/>
  <c r="E4" i="11" s="1"/>
  <c r="D5" i="11"/>
  <c r="E5" i="11" s="1"/>
  <c r="D6" i="11"/>
  <c r="E6" i="11" s="1"/>
  <c r="D7" i="11"/>
  <c r="E7" i="11" s="1"/>
  <c r="D8" i="11"/>
  <c r="E8" i="11" s="1"/>
  <c r="D9" i="11"/>
  <c r="E9" i="11" s="1"/>
  <c r="D10" i="11"/>
  <c r="E10" i="11" s="1"/>
  <c r="D11" i="11"/>
  <c r="E11" i="11" s="1"/>
  <c r="D12" i="11"/>
  <c r="E12" i="11" s="1"/>
  <c r="D3" i="11"/>
  <c r="E3" i="11" s="1"/>
  <c r="BA25" i="11"/>
  <c r="AR2" i="11" a="1"/>
  <c r="AR2" i="11" s="1"/>
  <c r="U2" i="11" a="1"/>
  <c r="U2" i="11" s="1"/>
  <c r="K57" i="11"/>
  <c r="K58" i="11"/>
  <c r="K59" i="11"/>
  <c r="K56" i="11"/>
  <c r="G57" i="11"/>
  <c r="G58" i="11"/>
  <c r="G56" i="11"/>
  <c r="D19" i="11"/>
  <c r="E19" i="11" s="1"/>
  <c r="D20" i="11"/>
  <c r="E20" i="11" s="1"/>
  <c r="D21" i="11"/>
  <c r="E21" i="11" s="1"/>
  <c r="D22" i="11"/>
  <c r="E22" i="11" s="1"/>
  <c r="D23" i="11"/>
  <c r="E23" i="11" s="1"/>
  <c r="D24" i="11"/>
  <c r="E24" i="11" s="1"/>
  <c r="D25" i="11"/>
  <c r="E25" i="11" s="1"/>
  <c r="D26" i="11"/>
  <c r="E26" i="11" s="1"/>
  <c r="D27" i="11"/>
  <c r="E27" i="11" s="1"/>
  <c r="D18" i="11"/>
  <c r="E18" i="11" s="1"/>
  <c r="W7" i="1"/>
  <c r="W6" i="1"/>
  <c r="W5" i="1"/>
  <c r="W4" i="1"/>
  <c r="V3" i="1" a="1"/>
  <c r="V3" i="1" s="1"/>
  <c r="W3" i="1"/>
  <c r="F20" i="5"/>
  <c r="F28" i="5"/>
  <c r="F43" i="5"/>
  <c r="F38" i="5"/>
  <c r="F33" i="5"/>
  <c r="F36" i="5"/>
  <c r="F52" i="5"/>
  <c r="F41" i="5"/>
  <c r="F30" i="5"/>
  <c r="F50" i="5"/>
  <c r="F39" i="5"/>
  <c r="F61" i="5"/>
  <c r="F44" i="5"/>
  <c r="F60" i="5"/>
  <c r="F37" i="5"/>
  <c r="F40" i="5"/>
  <c r="F22" i="5"/>
  <c r="F21" i="5"/>
  <c r="F55" i="5"/>
  <c r="F66" i="5"/>
  <c r="F51" i="5"/>
  <c r="F16" i="5"/>
  <c r="F58" i="5"/>
  <c r="F23" i="5"/>
  <c r="F45" i="5"/>
  <c r="F57" i="5"/>
  <c r="F49" i="5"/>
  <c r="F32" i="5"/>
  <c r="F35" i="5"/>
  <c r="F59" i="5"/>
  <c r="F25" i="5"/>
  <c r="F42" i="5"/>
  <c r="F46" i="5"/>
  <c r="F34" i="5"/>
  <c r="F24" i="5"/>
  <c r="F67" i="5"/>
  <c r="F63" i="5"/>
  <c r="F17" i="5"/>
  <c r="G13" i="5"/>
  <c r="F15" i="5"/>
  <c r="F29" i="5"/>
  <c r="F14" i="5"/>
  <c r="F54" i="5"/>
  <c r="F47" i="5"/>
  <c r="F62" i="5"/>
  <c r="F64" i="5"/>
  <c r="F26" i="5"/>
  <c r="F53" i="5"/>
  <c r="F56" i="5"/>
  <c r="F65" i="5"/>
  <c r="F27" i="5"/>
  <c r="F31" i="5"/>
  <c r="F48" i="5"/>
  <c r="G19" i="5"/>
  <c r="G15" i="5"/>
  <c r="G16" i="5"/>
  <c r="M32" i="5"/>
  <c r="M19" i="5"/>
  <c r="G56" i="5"/>
  <c r="G36" i="5"/>
  <c r="G21" i="5"/>
  <c r="G47" i="5"/>
  <c r="G52" i="5"/>
  <c r="G53" i="5"/>
  <c r="M59" i="5"/>
  <c r="G63" i="5"/>
  <c r="G58" i="5"/>
  <c r="M63" i="5"/>
  <c r="G45" i="5"/>
  <c r="G61" i="5"/>
  <c r="M38" i="5"/>
  <c r="G46" i="5"/>
  <c r="G66" i="5"/>
  <c r="G22" i="5"/>
  <c r="G38" i="5"/>
  <c r="M23" i="5"/>
  <c r="G39" i="5"/>
  <c r="G64" i="5"/>
  <c r="G62" i="5"/>
  <c r="M28" i="5"/>
  <c r="G44" i="5"/>
  <c r="G33" i="5"/>
  <c r="G55" i="5"/>
  <c r="G27" i="5"/>
  <c r="G28" i="5"/>
  <c r="M48" i="5"/>
  <c r="G54" i="5"/>
  <c r="G32" i="5"/>
  <c r="G24" i="5"/>
  <c r="M52" i="5"/>
  <c r="M42" i="5"/>
  <c r="G65" i="5"/>
  <c r="G23" i="5"/>
  <c r="G42" i="5"/>
  <c r="G51" i="5"/>
  <c r="G37" i="11"/>
  <c r="G36" i="11"/>
  <c r="G34" i="11"/>
  <c r="G33" i="11"/>
  <c r="G35" i="11"/>
  <c r="G38" i="11"/>
  <c r="AZ3" i="11" l="1" a="1"/>
  <c r="AZ3" i="11" s="1"/>
  <c r="AZ14" i="11" a="1"/>
  <c r="AZ8" i="11" a="1"/>
  <c r="AZ22" i="11" a="1"/>
  <c r="AZ17" i="11" a="1"/>
  <c r="AZ12" i="11" a="1"/>
  <c r="AZ7" i="11" a="1"/>
  <c r="AZ19" i="11" a="1"/>
  <c r="AZ4" i="11" a="1"/>
  <c r="AZ13" i="11" a="1"/>
  <c r="AZ16" i="11" a="1"/>
  <c r="AZ21" i="11" a="1"/>
  <c r="AZ11" i="11" a="1"/>
  <c r="AZ6" i="11" a="1"/>
  <c r="AZ20" i="11" a="1"/>
  <c r="AZ15" i="11" a="1"/>
  <c r="AZ10" i="11" a="1"/>
  <c r="AZ5" i="11" a="1"/>
  <c r="AZ18" i="11" a="1"/>
  <c r="AZ9" i="11" a="1"/>
  <c r="AA39" i="11"/>
  <c r="Z39" i="11" s="1"/>
  <c r="AA14" i="11"/>
  <c r="Z14" i="11" s="1"/>
  <c r="AA6" i="11"/>
  <c r="Z6" i="11" s="1"/>
  <c r="AA33" i="11"/>
  <c r="Z33" i="11" s="1"/>
  <c r="AA5" i="11"/>
  <c r="Z5" i="11" s="1"/>
  <c r="AA40" i="11"/>
  <c r="Z40" i="11" s="1"/>
  <c r="AA12" i="11"/>
  <c r="Z12" i="11" s="1"/>
  <c r="AA4" i="11"/>
  <c r="Z4" i="11" s="1"/>
  <c r="AA31" i="11"/>
  <c r="Z31" i="11" s="1"/>
  <c r="AA19" i="11"/>
  <c r="Z19" i="11" s="1"/>
  <c r="AA11" i="11"/>
  <c r="Z11" i="11" s="1"/>
  <c r="AA22" i="11"/>
  <c r="Z22" i="11" s="1"/>
  <c r="AA38" i="11"/>
  <c r="Z38" i="11" s="1"/>
  <c r="AA30" i="11"/>
  <c r="Z30" i="11" s="1"/>
  <c r="AA44" i="11"/>
  <c r="Z44" i="11" s="1"/>
  <c r="AA3" i="11"/>
  <c r="Z3" i="11" s="1"/>
  <c r="AA32" i="11"/>
  <c r="Z32" i="11" s="1"/>
  <c r="AA18" i="11"/>
  <c r="Z18" i="11" s="1"/>
  <c r="AA10" i="11"/>
  <c r="Z10" i="11" s="1"/>
  <c r="AA21" i="11"/>
  <c r="Z21" i="11" s="1"/>
  <c r="AA37" i="11"/>
  <c r="Z37" i="11" s="1"/>
  <c r="AA29" i="11"/>
  <c r="Z29" i="11" s="1"/>
  <c r="AA41" i="11"/>
  <c r="Z41" i="11" s="1"/>
  <c r="AA13" i="11"/>
  <c r="Z13" i="11" s="1"/>
  <c r="AA20" i="11"/>
  <c r="Z20" i="11" s="1"/>
  <c r="AA17" i="11"/>
  <c r="Z17" i="11" s="1"/>
  <c r="AA9" i="11"/>
  <c r="Z9" i="11" s="1"/>
  <c r="AA25" i="11"/>
  <c r="Z25" i="11" s="1"/>
  <c r="AA36" i="11"/>
  <c r="Z36" i="11" s="1"/>
  <c r="AA28" i="11"/>
  <c r="Z28" i="11" s="1"/>
  <c r="AA16" i="11"/>
  <c r="Z16" i="11" s="1"/>
  <c r="AA8" i="11"/>
  <c r="Z8" i="11" s="1"/>
  <c r="AA43" i="11"/>
  <c r="Z43" i="11" s="1"/>
  <c r="AA35" i="11"/>
  <c r="Z35" i="11" s="1"/>
  <c r="AA27" i="11"/>
  <c r="Z27" i="11" s="1"/>
  <c r="AA15" i="11"/>
  <c r="Z15" i="11" s="1"/>
  <c r="AA7" i="11"/>
  <c r="Z7" i="11" s="1"/>
  <c r="AA42" i="11"/>
  <c r="Z42" i="11" s="1"/>
  <c r="AA34" i="11"/>
  <c r="Z34" i="11" s="1"/>
  <c r="AA26" i="11"/>
  <c r="Z26" i="11" s="1"/>
  <c r="L42" i="11"/>
  <c r="L44" i="11" s="1"/>
  <c r="G17" i="5"/>
  <c r="G14" i="5"/>
  <c r="G48" i="5"/>
  <c r="G40" i="5"/>
  <c r="G67" i="5"/>
  <c r="G43" i="5"/>
  <c r="G25" i="5"/>
  <c r="G34" i="5"/>
  <c r="G35" i="5"/>
  <c r="G26" i="5"/>
  <c r="G20" i="5"/>
  <c r="G30" i="5"/>
  <c r="G50" i="5"/>
  <c r="G60" i="5"/>
  <c r="G29" i="5"/>
  <c r="G31" i="5"/>
  <c r="G57" i="5"/>
  <c r="G41" i="5"/>
  <c r="G49" i="5"/>
  <c r="G59" i="5"/>
  <c r="G37" i="5"/>
  <c r="AZ15" i="11" l="1"/>
  <c r="BE15" i="11" s="1"/>
  <c r="BF15" i="11" s="1"/>
  <c r="AZ19" i="11"/>
  <c r="BE19" i="11" s="1"/>
  <c r="BF19" i="11" s="1"/>
  <c r="AZ20" i="11"/>
  <c r="BE20" i="11" s="1"/>
  <c r="BF20" i="11" s="1"/>
  <c r="BE3" i="11"/>
  <c r="BF3" i="11" s="1"/>
  <c r="AZ7" i="11"/>
  <c r="BE7" i="11" s="1"/>
  <c r="BF7" i="11" s="1"/>
  <c r="AZ11" i="11"/>
  <c r="BE11" i="11" s="1"/>
  <c r="BF11" i="11" s="1"/>
  <c r="AZ12" i="11"/>
  <c r="BE12" i="11" s="1"/>
  <c r="BF12" i="11" s="1"/>
  <c r="AZ9" i="11"/>
  <c r="AZ21" i="11"/>
  <c r="BE21" i="11" s="1"/>
  <c r="BF21" i="11" s="1"/>
  <c r="AZ17" i="11"/>
  <c r="BE17" i="11" s="1"/>
  <c r="AZ6" i="11"/>
  <c r="BE6" i="11" s="1"/>
  <c r="BF6" i="11" s="1"/>
  <c r="AZ18" i="11"/>
  <c r="BE18" i="11" s="1"/>
  <c r="BF18" i="11" s="1"/>
  <c r="AZ16" i="11"/>
  <c r="BE16" i="11" s="1"/>
  <c r="BF16" i="11" s="1"/>
  <c r="AZ22" i="11"/>
  <c r="BE22" i="11" s="1"/>
  <c r="BF22" i="11" s="1"/>
  <c r="AZ5" i="11"/>
  <c r="BE5" i="11" s="1"/>
  <c r="BF5" i="11" s="1"/>
  <c r="AZ13" i="11"/>
  <c r="BE13" i="11" s="1"/>
  <c r="BF13" i="11" s="1"/>
  <c r="AZ8" i="11"/>
  <c r="BE8" i="11" s="1"/>
  <c r="BF8" i="11" s="1"/>
  <c r="AZ10" i="11"/>
  <c r="BE10" i="11" s="1"/>
  <c r="BF10" i="11" s="1"/>
  <c r="AZ4" i="11"/>
  <c r="BE4" i="11" s="1"/>
  <c r="BF4" i="11" s="1"/>
  <c r="AZ14" i="11"/>
  <c r="BE14" i="11" s="1"/>
  <c r="BF14" i="11" s="1"/>
  <c r="AE26" i="11" a="1"/>
  <c r="AE26" i="11" s="1"/>
  <c r="AD8" i="11"/>
  <c r="AE8" i="11" s="1"/>
  <c r="BE9" i="11" l="1"/>
  <c r="BF9" i="11" s="1"/>
  <c r="BF17" i="11"/>
  <c r="AC85" i="11"/>
  <c r="BA26" i="11"/>
  <c r="BB30" i="11" s="1"/>
  <c r="AC196" i="11"/>
  <c r="AC44" i="11"/>
  <c r="AC379" i="11"/>
  <c r="AC26" i="11"/>
  <c r="AC129" i="11"/>
  <c r="AC272" i="11"/>
  <c r="AC354" i="11"/>
  <c r="AC143" i="11"/>
  <c r="AC262" i="11"/>
  <c r="AC266" i="11"/>
  <c r="AC213" i="11"/>
  <c r="AC308" i="11"/>
  <c r="AC116" i="11"/>
  <c r="AC323" i="11"/>
  <c r="AC67" i="11"/>
  <c r="AC329" i="11"/>
  <c r="AC73" i="11"/>
  <c r="AC216" i="11"/>
  <c r="AC375" i="11"/>
  <c r="AC87" i="11"/>
  <c r="AC206" i="11"/>
  <c r="AC311" i="11"/>
  <c r="AC157" i="11"/>
  <c r="AC195" i="11"/>
  <c r="AC122" i="11"/>
  <c r="AC201" i="11"/>
  <c r="AC344" i="11"/>
  <c r="AC88" i="11"/>
  <c r="AC215" i="11"/>
  <c r="AC342" i="11"/>
  <c r="AC78" i="11"/>
  <c r="AC285" i="11"/>
  <c r="AE27" i="11"/>
  <c r="AB20" i="11" s="1"/>
  <c r="AC180" i="11"/>
  <c r="AC187" i="11"/>
  <c r="AC193" i="11"/>
  <c r="AC80" i="11"/>
  <c r="AC207" i="11"/>
  <c r="AC70" i="11"/>
  <c r="AB18" i="11"/>
  <c r="AC172" i="11"/>
  <c r="AC292" i="11"/>
  <c r="AC131" i="11"/>
  <c r="AC137" i="11"/>
  <c r="AC280" i="11"/>
  <c r="AC151" i="11"/>
  <c r="AC270" i="11"/>
  <c r="AC306" i="11"/>
  <c r="AC316" i="11"/>
  <c r="AC132" i="11"/>
  <c r="AC260" i="11"/>
  <c r="AC108" i="11"/>
  <c r="AC59" i="11"/>
  <c r="AC65" i="11"/>
  <c r="AC208" i="11"/>
  <c r="AC351" i="11"/>
  <c r="AC198" i="11"/>
  <c r="AC149" i="11"/>
  <c r="AC244" i="11"/>
  <c r="AC68" i="11"/>
  <c r="AC259" i="11"/>
  <c r="AC282" i="11"/>
  <c r="AC265" i="11"/>
  <c r="AC274" i="11"/>
  <c r="AC152" i="11"/>
  <c r="AC279" i="11"/>
  <c r="AC362" i="11"/>
  <c r="AC142" i="11"/>
  <c r="AC349" i="11"/>
  <c r="AC93" i="11"/>
  <c r="AC340" i="11"/>
  <c r="AC90" i="11"/>
  <c r="AC336" i="11"/>
  <c r="AC326" i="11"/>
  <c r="AC277" i="11"/>
  <c r="AC348" i="11"/>
  <c r="AC34" i="11"/>
  <c r="AC24" i="11"/>
  <c r="AC221" i="11"/>
  <c r="AC123" i="11"/>
  <c r="AC315" i="11"/>
  <c r="AC321" i="11"/>
  <c r="AC79" i="11"/>
  <c r="AC374" i="11"/>
  <c r="AC236" i="11"/>
  <c r="AC52" i="11"/>
  <c r="AC251" i="11"/>
  <c r="AC258" i="11"/>
  <c r="AC257" i="11"/>
  <c r="AC242" i="11"/>
  <c r="AC144" i="11"/>
  <c r="AC271" i="11"/>
  <c r="AC298" i="11"/>
  <c r="AC134" i="11"/>
  <c r="AC341" i="11"/>
  <c r="AB11" i="11"/>
  <c r="AB9" i="11"/>
  <c r="AC284" i="11"/>
  <c r="AC220" i="11"/>
  <c r="AC156" i="11"/>
  <c r="AC92" i="11"/>
  <c r="AC314" i="11"/>
  <c r="AC363" i="11"/>
  <c r="AC299" i="11"/>
  <c r="AC235" i="11"/>
  <c r="AC171" i="11"/>
  <c r="AC107" i="11"/>
  <c r="AC43" i="11"/>
  <c r="AC194" i="11"/>
  <c r="AC74" i="11"/>
  <c r="AC369" i="11"/>
  <c r="AC305" i="11"/>
  <c r="AC241" i="11"/>
  <c r="AC177" i="11"/>
  <c r="AC113" i="11"/>
  <c r="AC49" i="11"/>
  <c r="AC162" i="11"/>
  <c r="AC320" i="11"/>
  <c r="AC256" i="11"/>
  <c r="AC192" i="11"/>
  <c r="AC128" i="11"/>
  <c r="AC64" i="11"/>
  <c r="AC250" i="11"/>
  <c r="AC327" i="11"/>
  <c r="AC255" i="11"/>
  <c r="AC191" i="11"/>
  <c r="AC127" i="11"/>
  <c r="AC63" i="11"/>
  <c r="AC130" i="11"/>
  <c r="AC310" i="11"/>
  <c r="AC246" i="11"/>
  <c r="AC182" i="11"/>
  <c r="AC118" i="11"/>
  <c r="AC54" i="11"/>
  <c r="AC186" i="11"/>
  <c r="AC334" i="11"/>
  <c r="AC325" i="11"/>
  <c r="AC261" i="11"/>
  <c r="AC197" i="11"/>
  <c r="AC133" i="11"/>
  <c r="AC69" i="11"/>
  <c r="AC378" i="11"/>
  <c r="AC228" i="11"/>
  <c r="AC100" i="11"/>
  <c r="AC371" i="11"/>
  <c r="AC243" i="11"/>
  <c r="AC179" i="11"/>
  <c r="AC51" i="11"/>
  <c r="AC226" i="11"/>
  <c r="AC377" i="11"/>
  <c r="AC313" i="11"/>
  <c r="AC185" i="11"/>
  <c r="AC57" i="11"/>
  <c r="AC328" i="11"/>
  <c r="AC200" i="11"/>
  <c r="AC72" i="11"/>
  <c r="AC335" i="11"/>
  <c r="AC135" i="11"/>
  <c r="AC210" i="11"/>
  <c r="AC254" i="11"/>
  <c r="AC126" i="11"/>
  <c r="AC62" i="11"/>
  <c r="AC358" i="11"/>
  <c r="AC269" i="11"/>
  <c r="AC205" i="11"/>
  <c r="AC77" i="11"/>
  <c r="AC380" i="11"/>
  <c r="AC276" i="11"/>
  <c r="AC212" i="11"/>
  <c r="AC148" i="11"/>
  <c r="AC84" i="11"/>
  <c r="AC372" i="11"/>
  <c r="AC355" i="11"/>
  <c r="AC291" i="11"/>
  <c r="AC227" i="11"/>
  <c r="AC163" i="11"/>
  <c r="AC99" i="11"/>
  <c r="AC35" i="11"/>
  <c r="AC170" i="11"/>
  <c r="AC66" i="11"/>
  <c r="AC361" i="11"/>
  <c r="AC297" i="11"/>
  <c r="AC233" i="11"/>
  <c r="AC169" i="11"/>
  <c r="AC105" i="11"/>
  <c r="AC41" i="11"/>
  <c r="AC114" i="11"/>
  <c r="AC312" i="11"/>
  <c r="AC248" i="11"/>
  <c r="AC184" i="11"/>
  <c r="AC120" i="11"/>
  <c r="AC56" i="11"/>
  <c r="AC218" i="11"/>
  <c r="AC319" i="11"/>
  <c r="AC247" i="11"/>
  <c r="AC183" i="11"/>
  <c r="AC119" i="11"/>
  <c r="AC55" i="11"/>
  <c r="AC359" i="11"/>
  <c r="AC302" i="11"/>
  <c r="AC238" i="11"/>
  <c r="AC174" i="11"/>
  <c r="AC110" i="11"/>
  <c r="AC46" i="11"/>
  <c r="AC106" i="11"/>
  <c r="AC381" i="11"/>
  <c r="AC317" i="11"/>
  <c r="AC253" i="11"/>
  <c r="AC189" i="11"/>
  <c r="AC125" i="11"/>
  <c r="AC61" i="11"/>
  <c r="AB15" i="11"/>
  <c r="AC300" i="11"/>
  <c r="AC164" i="11"/>
  <c r="AC28" i="11"/>
  <c r="AC307" i="11"/>
  <c r="AC115" i="11"/>
  <c r="AC82" i="11"/>
  <c r="AC249" i="11"/>
  <c r="AC121" i="11"/>
  <c r="AC202" i="11"/>
  <c r="AC264" i="11"/>
  <c r="AC136" i="11"/>
  <c r="AC290" i="11"/>
  <c r="AC263" i="11"/>
  <c r="AC199" i="11"/>
  <c r="AC71" i="11"/>
  <c r="AC318" i="11"/>
  <c r="AC190" i="11"/>
  <c r="AC234" i="11"/>
  <c r="AC333" i="11"/>
  <c r="AC141" i="11"/>
  <c r="AC322" i="11"/>
  <c r="AC364" i="11"/>
  <c r="AC268" i="11"/>
  <c r="AC204" i="11"/>
  <c r="AC140" i="11"/>
  <c r="AC76" i="11"/>
  <c r="AC356" i="11"/>
  <c r="AC347" i="11"/>
  <c r="AC283" i="11"/>
  <c r="AC219" i="11"/>
  <c r="AC155" i="11"/>
  <c r="AC91" i="11"/>
  <c r="AC27" i="11"/>
  <c r="AC154" i="11"/>
  <c r="AC58" i="11"/>
  <c r="AC353" i="11"/>
  <c r="AC289" i="11"/>
  <c r="AC225" i="11"/>
  <c r="AC161" i="11"/>
  <c r="AC97" i="11"/>
  <c r="AC33" i="11"/>
  <c r="AC368" i="11"/>
  <c r="AC304" i="11"/>
  <c r="AC240" i="11"/>
  <c r="AC176" i="11"/>
  <c r="AC112" i="11"/>
  <c r="AC48" i="11"/>
  <c r="AC178" i="11"/>
  <c r="AC303" i="11"/>
  <c r="AC239" i="11"/>
  <c r="AC175" i="11"/>
  <c r="AC111" i="11"/>
  <c r="AC47" i="11"/>
  <c r="AC382" i="11"/>
  <c r="AC294" i="11"/>
  <c r="AC230" i="11"/>
  <c r="AC166" i="11"/>
  <c r="AC102" i="11"/>
  <c r="AC38" i="11"/>
  <c r="AC376" i="11"/>
  <c r="AC373" i="11"/>
  <c r="AC309" i="11"/>
  <c r="AC245" i="11"/>
  <c r="AC181" i="11"/>
  <c r="AC117" i="11"/>
  <c r="AC53" i="11"/>
  <c r="AB12" i="11"/>
  <c r="AC339" i="11"/>
  <c r="AC275" i="11"/>
  <c r="AC211" i="11"/>
  <c r="AC83" i="11"/>
  <c r="AC146" i="11"/>
  <c r="AC345" i="11"/>
  <c r="AC217" i="11"/>
  <c r="AC89" i="11"/>
  <c r="AC360" i="11"/>
  <c r="AC232" i="11"/>
  <c r="AC104" i="11"/>
  <c r="AC98" i="11"/>
  <c r="AC231" i="11"/>
  <c r="AC103" i="11"/>
  <c r="AC366" i="11"/>
  <c r="AC222" i="11"/>
  <c r="AC158" i="11"/>
  <c r="AC94" i="11"/>
  <c r="AC367" i="11"/>
  <c r="AC301" i="11"/>
  <c r="AC173" i="11"/>
  <c r="AC45" i="11"/>
  <c r="AC147" i="11"/>
  <c r="AC370" i="11"/>
  <c r="AC50" i="11"/>
  <c r="AC281" i="11"/>
  <c r="AC153" i="11"/>
  <c r="AC25" i="11"/>
  <c r="AC296" i="11"/>
  <c r="AC168" i="11"/>
  <c r="AC40" i="11"/>
  <c r="AC295" i="11"/>
  <c r="AC167" i="11"/>
  <c r="AC39" i="11"/>
  <c r="AC286" i="11"/>
  <c r="AC30" i="11"/>
  <c r="AC365" i="11"/>
  <c r="AC237" i="11"/>
  <c r="AC109" i="11"/>
  <c r="AB16" i="11"/>
  <c r="AC332" i="11"/>
  <c r="AC252" i="11"/>
  <c r="AC188" i="11"/>
  <c r="AC124" i="11"/>
  <c r="AC60" i="11"/>
  <c r="AC324" i="11"/>
  <c r="AC331" i="11"/>
  <c r="AC267" i="11"/>
  <c r="AC203" i="11"/>
  <c r="AC139" i="11"/>
  <c r="AC75" i="11"/>
  <c r="AC330" i="11"/>
  <c r="AC138" i="11"/>
  <c r="AC42" i="11"/>
  <c r="AC337" i="11"/>
  <c r="AC273" i="11"/>
  <c r="AC209" i="11"/>
  <c r="AC145" i="11"/>
  <c r="AC81" i="11"/>
  <c r="AC338" i="11"/>
  <c r="AC352" i="11"/>
  <c r="AC288" i="11"/>
  <c r="AC224" i="11"/>
  <c r="AC160" i="11"/>
  <c r="AC96" i="11"/>
  <c r="AC32" i="11"/>
  <c r="AC383" i="11"/>
  <c r="AC287" i="11"/>
  <c r="AC223" i="11"/>
  <c r="AC159" i="11"/>
  <c r="AC95" i="11"/>
  <c r="AC31" i="11"/>
  <c r="AC350" i="11"/>
  <c r="AC278" i="11"/>
  <c r="AC214" i="11"/>
  <c r="AC150" i="11"/>
  <c r="AC86" i="11"/>
  <c r="AC346" i="11"/>
  <c r="AC343" i="11"/>
  <c r="AC357" i="11"/>
  <c r="AC293" i="11"/>
  <c r="AC229" i="11"/>
  <c r="AC165" i="11"/>
  <c r="AC101" i="11"/>
  <c r="AC29" i="11"/>
  <c r="AB7" i="11"/>
  <c r="AB8" i="11"/>
  <c r="AB19" i="11"/>
  <c r="AB6" i="11"/>
  <c r="AB14" i="11"/>
  <c r="AC36" i="11"/>
  <c r="AC37" i="11"/>
  <c r="AB4" i="11" l="1"/>
  <c r="BB29" i="11"/>
  <c r="BB31" i="11"/>
  <c r="BB32" i="11"/>
  <c r="BA28" i="11"/>
  <c r="AB17" i="11"/>
  <c r="AC23" i="11"/>
  <c r="AB5" i="11"/>
  <c r="AB13" i="11"/>
  <c r="AB21" i="11"/>
  <c r="AB22" i="11"/>
  <c r="AB10" i="11"/>
  <c r="AB3" i="11"/>
  <c r="BB28"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F2ECC3-A201-48A4-9065-88EA2B4D9094}" name="Query - Calendar" description="Connection to the 'Calendar' query in the workbook." type="100" refreshedVersion="8" minRefreshableVersion="5">
    <extLst>
      <ext xmlns:x15="http://schemas.microsoft.com/office/spreadsheetml/2010/11/main" uri="{DE250136-89BD-433C-8126-D09CA5730AF9}">
        <x15:connection id="ad08443c-02dc-45a0-94d1-2bd814ef4aae"/>
      </ext>
    </extLst>
  </connection>
  <connection id="2" xr16:uid="{482FEF3F-4FAB-4A2B-B1EC-DCD6721B785E}" name="Query - hCalendar" description="Connection to the 'hCalendar' query in the workbook." type="100" refreshedVersion="8" minRefreshableVersion="5">
    <extLst>
      <ext xmlns:x15="http://schemas.microsoft.com/office/spreadsheetml/2010/11/main" uri="{DE250136-89BD-433C-8126-D09CA5730AF9}">
        <x15:connection id="7e12b268-e50a-46db-86f6-b90ba86d1f64"/>
      </ext>
    </extLst>
  </connection>
  <connection id="3" xr16:uid="{86994863-0ED2-4EA8-A9E6-888F74D8A5E3}" name="Query - People" description="Connection to the 'People' query in the workbook." type="100" refreshedVersion="8" minRefreshableVersion="5">
    <extLst>
      <ext xmlns:x15="http://schemas.microsoft.com/office/spreadsheetml/2010/11/main" uri="{DE250136-89BD-433C-8126-D09CA5730AF9}">
        <x15:connection id="44c891a2-7cee-455c-bf47-eb72ef0f1ba1"/>
      </ext>
    </extLst>
  </connection>
  <connection id="4" xr16:uid="{FEAAE98C-3B66-4259-AB49-95164CAA95C8}" name="Query - Returns" description="Connection to the 'Returns' query in the workbook." type="100" refreshedVersion="8" minRefreshableVersion="5">
    <extLst>
      <ext xmlns:x15="http://schemas.microsoft.com/office/spreadsheetml/2010/11/main" uri="{DE250136-89BD-433C-8126-D09CA5730AF9}">
        <x15:connection id="fba196ae-3163-40ee-8cfb-d8df45fc9cd6"/>
      </ext>
    </extLst>
  </connection>
  <connection id="5" xr16:uid="{FD251C64-DA97-4727-BD52-67385AFF08F4}" name="Query - Super_Store_data" description="Connection to the 'Super_Store_data' query in the workbook." type="100" refreshedVersion="8" minRefreshableVersion="5">
    <extLst>
      <ext xmlns:x15="http://schemas.microsoft.com/office/spreadsheetml/2010/11/main" uri="{DE250136-89BD-433C-8126-D09CA5730AF9}">
        <x15:connection id="e250e07f-cef5-40a4-bb96-aacb2cd7dad0"/>
      </ext>
    </extLst>
  </connection>
  <connection id="6" xr16:uid="{D9162E4A-7EA6-492B-8C9D-CAAA380DF68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11D62B9A-EF83-421A-A38A-F8BE03FAEBD6}" name="WorksheetConnection_Bayan_Sales_Dashboard.xlsx!View" type="102" refreshedVersion="8" minRefreshableVersion="5">
    <extLst>
      <ext xmlns:x15="http://schemas.microsoft.com/office/spreadsheetml/2010/11/main" uri="{DE250136-89BD-433C-8126-D09CA5730AF9}">
        <x15:connection id="View">
          <x15:rangePr sourceName="_xlcn.WorksheetConnection_Bayan_Sales_Dashboard.xlsxView"/>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57">
    <s v="ThisWorkbookDataModel"/>
    <s v="[Super_Store_data].[Sub-Category].&amp;[Bookcases]"/>
    <s v="[Measures].[Total Revenue]"/>
    <s v="[Super_Store_data].[Sub-Category].&amp;[Tables]"/>
    <s v="[Super_Store_data].[Sub-Category].&amp;[Furnishings]"/>
    <s v="[Super_Store_data].[Sub-Category].&amp;[Chairs]"/>
    <s v="\$#,0;(\$#,0);\$#,0"/>
    <s v="[Super_Store_data].[State].&amp;[Montana]"/>
    <s v="[Super_Store_data].[State].&amp;[New Hampshire]"/>
    <s v="[Super_Store_data].[State].&amp;[Mississippi]"/>
    <s v="[Super_Store_data].[State].&amp;[Alabama]"/>
    <s v="[Super_Store_data].[State].&amp;[Kentucky]"/>
    <s v="[Super_Store_data].[State].&amp;[Ohio]"/>
    <s v="[Super_Store_data].[State].&amp;[Maine]"/>
    <s v="[Super_Store_data].[State].&amp;[Nebraska]"/>
    <s v="[Super_Store_data].[State].&amp;[Nevada]"/>
    <s v="[Super_Store_data].[State].&amp;[Oregon]"/>
    <s v="[Super_Store_data].[State].&amp;[Colorado]"/>
    <s v="[Super_Store_data].[State].&amp;[Virginia]"/>
    <s v="[Super_Store_data].[State].&amp;[Kansas]"/>
    <s v="[Super_Store_data].[State].&amp;[Idaho]"/>
    <s v="[Super_Store_data].[State].&amp;[Delaware]"/>
    <s v="[Super_Store_data].[State].&amp;[Minnesota]"/>
    <s v="[Super_Store_data].[State].&amp;[Tennessee]"/>
    <s v="[Super_Store_data].[State].&amp;[Illinois]"/>
    <s v="[Super_Store_data].[State].&amp;[New Mexico]"/>
    <s v="[Super_Store_data].[State].&amp;[Florida]"/>
    <s v="[Super_Store_data].[State].&amp;[South Dakota]"/>
    <s v="[Super_Store_data].[State].&amp;[Iowa]"/>
    <s v="[Super_Store_data].[State].&amp;[Utah]"/>
    <s v="[Super_Store_data].[State].&amp;[Oklahoma]"/>
    <s v="[Super_Store_data].[State].&amp;[Arizona]"/>
    <s v="[Super_Store_data].[State].&amp;[Pennsylvania]"/>
    <s v="[Super_Store_data].[State].&amp;[Arkansas]"/>
    <s v="[Super_Store_data].[State].&amp;[West Virginia]"/>
    <s v="[Super_Store_data].[State].&amp;[Missouri]"/>
    <s v="[Super_Store_data].[State].&amp;[Vermont]"/>
    <s v="[Super_Store_data].[State].&amp;[Georgia]"/>
    <s v="[Super_Store_data].[State].&amp;[North Carolina]"/>
    <s v="[Super_Store_data].[State].&amp;[Washington]"/>
    <s v="[Super_Store_data].[State].&amp;[California]"/>
    <s v="[Super_Store_data].[State].&amp;[District of Columbia]"/>
    <s v="[Super_Store_data].[State].&amp;[Louisiana]"/>
    <s v="[Super_Store_data].[State].&amp;[Connecticut]"/>
    <s v="[Super_Store_data].[State].&amp;[Maryland]"/>
    <s v="[Super_Store_data].[State].&amp;[Wisconsin]"/>
    <s v="[Super_Store_data].[State].&amp;[Texas]"/>
    <s v="[Super_Store_data].[State].&amp;[New Jersey]"/>
    <s v="[Super_Store_data].[State].&amp;[Wyoming]"/>
    <s v="[Super_Store_data].[State].&amp;[South Carolina]"/>
    <s v="[Super_Store_data].[State].&amp;[Rhode Island]"/>
    <s v="[Super_Store_data].[State].&amp;[Massachusetts]"/>
    <s v="[Super_Store_data].[State].&amp;[Michigan]"/>
    <s v="[Super_Store_data].[State].&amp;[New York]"/>
    <s v="[Super_Store_data].[State].&amp;[Indiana]"/>
    <s v="{[Super_Store_data].[Region].[All]}"/>
    <s v="{[Calendar].[Date (Year)].[All]}"/>
  </metadataStrings>
  <mdxMetadata count="105">
    <mdx n="0" f="m">
      <t c="1">
        <n x="1"/>
      </t>
    </mdx>
    <mdx n="0" f="m">
      <t c="1">
        <n x="2"/>
      </t>
    </mdx>
    <mdx n="0" f="m">
      <t c="1">
        <n x="3"/>
      </t>
    </mdx>
    <mdx n="0" f="m">
      <t c="1">
        <n x="4"/>
      </t>
    </mdx>
    <mdx n="0" f="m">
      <t c="1">
        <n x="5"/>
      </t>
    </mdx>
    <mdx n="0" f="m">
      <t c="1">
        <n x="7"/>
      </t>
    </mdx>
    <mdx n="0" f="m">
      <t c="1">
        <n x="8"/>
      </t>
    </mdx>
    <mdx n="0" f="m">
      <t c="1">
        <n x="9"/>
      </t>
    </mdx>
    <mdx n="0" f="m">
      <t c="1">
        <n x="10"/>
      </t>
    </mdx>
    <mdx n="0" f="m">
      <t c="1">
        <n x="11"/>
      </t>
    </mdx>
    <mdx n="0" f="m">
      <t c="1">
        <n x="12"/>
      </t>
    </mdx>
    <mdx n="0" f="m">
      <t c="1">
        <n x="13"/>
      </t>
    </mdx>
    <mdx n="0" f="m">
      <t c="1">
        <n x="14"/>
      </t>
    </mdx>
    <mdx n="0" f="m">
      <t c="1">
        <n x="15"/>
      </t>
    </mdx>
    <mdx n="0" f="m">
      <t c="1">
        <n x="16"/>
      </t>
    </mdx>
    <mdx n="0" f="m">
      <t c="1">
        <n x="17"/>
      </t>
    </mdx>
    <mdx n="0" f="m">
      <t c="1">
        <n x="18"/>
      </t>
    </mdx>
    <mdx n="0" f="m">
      <t c="1">
        <n x="19"/>
      </t>
    </mdx>
    <mdx n="0" f="m">
      <t c="1">
        <n x="20"/>
      </t>
    </mdx>
    <mdx n="0" f="m">
      <t c="1">
        <n x="21"/>
      </t>
    </mdx>
    <mdx n="0" f="m">
      <t c="1">
        <n x="22"/>
      </t>
    </mdx>
    <mdx n="0" f="m">
      <t c="1">
        <n x="23"/>
      </t>
    </mdx>
    <mdx n="0" f="m">
      <t c="1">
        <n x="24"/>
      </t>
    </mdx>
    <mdx n="0" f="m">
      <t c="1">
        <n x="25"/>
      </t>
    </mdx>
    <mdx n="0" f="m">
      <t c="1">
        <n x="26"/>
      </t>
    </mdx>
    <mdx n="0" f="m">
      <t c="1">
        <n x="27"/>
      </t>
    </mdx>
    <mdx n="0" f="m">
      <t c="1">
        <n x="28"/>
      </t>
    </mdx>
    <mdx n="0" f="m">
      <t c="1">
        <n x="29"/>
      </t>
    </mdx>
    <mdx n="0" f="m">
      <t c="1">
        <n x="30"/>
      </t>
    </mdx>
    <mdx n="0" f="m">
      <t c="1">
        <n x="31"/>
      </t>
    </mdx>
    <mdx n="0" f="m">
      <t c="1">
        <n x="32"/>
      </t>
    </mdx>
    <mdx n="0" f="m">
      <t c="1">
        <n x="33"/>
      </t>
    </mdx>
    <mdx n="0" f="m">
      <t c="1">
        <n x="34"/>
      </t>
    </mdx>
    <mdx n="0" f="m">
      <t c="1">
        <n x="35"/>
      </t>
    </mdx>
    <mdx n="0" f="m">
      <t c="1">
        <n x="36"/>
      </t>
    </mdx>
    <mdx n="0" f="m">
      <t c="1">
        <n x="37"/>
      </t>
    </mdx>
    <mdx n="0" f="m">
      <t c="1">
        <n x="38"/>
      </t>
    </mdx>
    <mdx n="0" f="m">
      <t c="1">
        <n x="39"/>
      </t>
    </mdx>
    <mdx n="0" f="m">
      <t c="1">
        <n x="40"/>
      </t>
    </mdx>
    <mdx n="0" f="m">
      <t c="1">
        <n x="41"/>
      </t>
    </mdx>
    <mdx n="0" f="m">
      <t c="1">
        <n x="42"/>
      </t>
    </mdx>
    <mdx n="0" f="m">
      <t c="1">
        <n x="43"/>
      </t>
    </mdx>
    <mdx n="0" f="m">
      <t c="1">
        <n x="44"/>
      </t>
    </mdx>
    <mdx n="0" f="m">
      <t c="1">
        <n x="45"/>
      </t>
    </mdx>
    <mdx n="0" f="m">
      <t c="1">
        <n x="46"/>
      </t>
    </mdx>
    <mdx n="0" f="m">
      <t c="1">
        <n x="47"/>
      </t>
    </mdx>
    <mdx n="0" f="m">
      <t c="1">
        <n x="48"/>
      </t>
    </mdx>
    <mdx n="0" f="m">
      <t c="1">
        <n x="49"/>
      </t>
    </mdx>
    <mdx n="0" f="m">
      <t c="1">
        <n x="50"/>
      </t>
    </mdx>
    <mdx n="0" f="m">
      <t c="1">
        <n x="51"/>
      </t>
    </mdx>
    <mdx n="0" f="m">
      <t c="1">
        <n x="52"/>
      </t>
    </mdx>
    <mdx n="0" f="m">
      <t c="1">
        <n x="53"/>
      </t>
    </mdx>
    <mdx n="0" f="m">
      <t c="1">
        <n x="54"/>
      </t>
    </mdx>
    <mdx n="0" f="v">
      <t c="4" si="6">
        <n x="8"/>
        <n x="2"/>
        <n x="56" s="1"/>
        <n x="55" s="1"/>
      </t>
    </mdx>
    <mdx n="0" f="v">
      <t c="4" si="6">
        <n x="41"/>
        <n x="2"/>
        <n x="56" s="1"/>
        <n x="55" s="1"/>
      </t>
    </mdx>
    <mdx n="0" f="v">
      <t c="4" si="6">
        <n x="22"/>
        <n x="2"/>
        <n x="56" s="1"/>
        <n x="55" s="1"/>
      </t>
    </mdx>
    <mdx n="0" f="v">
      <t c="4" si="6">
        <n x="20"/>
        <n x="2"/>
        <n x="56" s="1"/>
        <n x="55" s="1"/>
      </t>
    </mdx>
    <mdx n="0" f="v">
      <t c="4" si="6">
        <n x="17"/>
        <n x="2"/>
        <n x="56" s="1"/>
        <n x="55" s="1"/>
      </t>
    </mdx>
    <mdx n="0" f="v">
      <t c="4" si="6">
        <n x="38"/>
        <n x="2"/>
        <n x="56" s="1"/>
        <n x="55" s="1"/>
      </t>
    </mdx>
    <mdx n="0" f="v">
      <t c="3" si="6">
        <n x="5"/>
        <n x="2"/>
        <n x="56" s="1"/>
      </t>
    </mdx>
    <mdx n="0" f="v">
      <t c="4" si="6">
        <n x="42"/>
        <n x="2"/>
        <n x="56" s="1"/>
        <n x="55" s="1"/>
      </t>
    </mdx>
    <mdx n="0" f="v">
      <t c="4" si="6">
        <n x="13"/>
        <n x="2"/>
        <n x="56" s="1"/>
        <n x="55" s="1"/>
      </t>
    </mdx>
    <mdx n="0" f="v">
      <t c="4" si="6">
        <n x="28"/>
        <n x="2"/>
        <n x="56" s="1"/>
        <n x="55" s="1"/>
      </t>
    </mdx>
    <mdx n="0" f="v">
      <t c="4" si="6">
        <n x="45"/>
        <n x="2"/>
        <n x="56" s="1"/>
        <n x="55" s="1"/>
      </t>
    </mdx>
    <mdx n="0" f="v">
      <t c="4" si="6">
        <n x="21"/>
        <n x="2"/>
        <n x="56" s="1"/>
        <n x="55" s="1"/>
      </t>
    </mdx>
    <mdx n="0" f="v">
      <t c="4" si="6">
        <n x="26"/>
        <n x="2"/>
        <n x="56" s="1"/>
        <n x="55" s="1"/>
      </t>
    </mdx>
    <mdx n="0" f="v">
      <t c="4" si="6">
        <n x="54"/>
        <n x="2"/>
        <n x="56" s="1"/>
        <n x="55" s="1"/>
      </t>
    </mdx>
    <mdx n="0" f="v">
      <t c="4" si="6">
        <n x="24"/>
        <n x="2"/>
        <n x="56" s="1"/>
        <n x="55" s="1"/>
      </t>
    </mdx>
    <mdx n="0" f="v">
      <t c="4" si="6">
        <n x="25"/>
        <n x="2"/>
        <n x="56" s="1"/>
        <n x="55" s="1"/>
      </t>
    </mdx>
    <mdx n="0" f="v">
      <t c="4" si="6">
        <n x="10"/>
        <n x="2"/>
        <n x="56" s="1"/>
        <n x="55" s="1"/>
      </t>
    </mdx>
    <mdx n="0" f="v">
      <t c="4" si="6">
        <n x="12"/>
        <n x="2"/>
        <n x="56" s="1"/>
        <n x="55" s="1"/>
      </t>
    </mdx>
    <mdx n="0" f="v">
      <t c="4" si="6">
        <n x="49"/>
        <n x="2"/>
        <n x="56" s="1"/>
        <n x="55" s="1"/>
      </t>
    </mdx>
    <mdx n="0" f="v">
      <t c="4" si="6">
        <n x="29"/>
        <n x="2"/>
        <n x="56" s="1"/>
        <n x="55" s="1"/>
      </t>
    </mdx>
    <mdx n="0" f="v">
      <t c="4" si="6">
        <n x="51"/>
        <n x="2"/>
        <n x="56" s="1"/>
        <n x="55" s="1"/>
      </t>
    </mdx>
    <mdx n="0" f="v">
      <t c="4" si="6">
        <n x="46"/>
        <n x="2"/>
        <n x="56" s="1"/>
        <n x="55" s="1"/>
      </t>
    </mdx>
    <mdx n="0" f="v">
      <t c="4" si="6">
        <n x="19"/>
        <n x="2"/>
        <n x="56" s="1"/>
        <n x="55" s="1"/>
      </t>
    </mdx>
    <mdx n="0" f="v">
      <t c="4" si="6">
        <n x="32"/>
        <n x="2"/>
        <n x="56" s="1"/>
        <n x="55" s="1"/>
      </t>
    </mdx>
    <mdx n="0" f="v">
      <t c="4" si="6">
        <n x="34"/>
        <n x="2"/>
        <n x="56" s="1"/>
        <n x="55" s="1"/>
      </t>
    </mdx>
    <mdx n="0" f="v">
      <t c="4" si="6">
        <n x="39"/>
        <n x="2"/>
        <n x="56" s="1"/>
        <n x="55" s="1"/>
      </t>
    </mdx>
    <mdx n="0" f="v">
      <t c="4" si="6">
        <n x="16"/>
        <n x="2"/>
        <n x="56" s="1"/>
        <n x="55" s="1"/>
      </t>
    </mdx>
    <mdx n="0" f="v">
      <t c="3" si="6">
        <n x="3"/>
        <n x="2"/>
        <n x="56" s="1"/>
      </t>
    </mdx>
    <mdx n="0" f="v">
      <t c="4" si="6">
        <n x="27"/>
        <n x="2"/>
        <n x="56" s="1"/>
        <n x="55" s="1"/>
      </t>
    </mdx>
    <mdx n="0" f="v">
      <t c="4" si="6">
        <n x="52"/>
        <n x="2"/>
        <n x="56" s="1"/>
        <n x="55" s="1"/>
      </t>
    </mdx>
    <mdx n="0" f="v">
      <t c="4" si="6">
        <n x="18"/>
        <n x="2"/>
        <n x="56" s="1"/>
        <n x="55" s="1"/>
      </t>
    </mdx>
    <mdx n="0" f="v">
      <t c="3" si="6">
        <n x="1"/>
        <n x="2"/>
        <n x="56" s="1"/>
      </t>
    </mdx>
    <mdx n="0" f="v">
      <t c="4" si="6">
        <n x="15"/>
        <n x="2"/>
        <n x="56" s="1"/>
        <n x="55" s="1"/>
      </t>
    </mdx>
    <mdx n="0" f="v">
      <t c="4" si="6">
        <n x="11"/>
        <n x="2"/>
        <n x="56" s="1"/>
        <n x="55" s="1"/>
      </t>
    </mdx>
    <mdx n="0" f="v">
      <t c="4" si="6">
        <n x="7"/>
        <n x="2"/>
        <n x="56" s="1"/>
        <n x="55" s="1"/>
      </t>
    </mdx>
    <mdx n="0" f="v">
      <t c="4" si="6">
        <n x="23"/>
        <n x="2"/>
        <n x="56" s="1"/>
        <n x="55" s="1"/>
      </t>
    </mdx>
    <mdx n="0" f="v">
      <t c="4" si="6">
        <n x="31"/>
        <n x="2"/>
        <n x="56" s="1"/>
        <n x="55" s="1"/>
      </t>
    </mdx>
    <mdx n="0" f="v">
      <t c="4" si="6">
        <n x="40"/>
        <n x="2"/>
        <n x="56" s="1"/>
        <n x="55" s="1"/>
      </t>
    </mdx>
    <mdx n="0" f="v">
      <t c="4" si="6">
        <n x="9"/>
        <n x="2"/>
        <n x="56" s="1"/>
        <n x="55" s="1"/>
      </t>
    </mdx>
    <mdx n="0" f="v">
      <t c="4" si="6">
        <n x="37"/>
        <n x="2"/>
        <n x="56" s="1"/>
        <n x="55" s="1"/>
      </t>
    </mdx>
    <mdx n="0" f="v">
      <t c="4" si="6">
        <n x="43"/>
        <n x="2"/>
        <n x="56" s="1"/>
        <n x="55" s="1"/>
      </t>
    </mdx>
    <mdx n="0" f="v">
      <t c="4" si="6">
        <n x="50"/>
        <n x="2"/>
        <n x="56" s="1"/>
        <n x="55" s="1"/>
      </t>
    </mdx>
    <mdx n="0" f="v">
      <t c="4" si="6">
        <n x="33"/>
        <n x="2"/>
        <n x="56" s="1"/>
        <n x="55" s="1"/>
      </t>
    </mdx>
    <mdx n="0" f="v">
      <t c="4" si="6">
        <n x="36"/>
        <n x="2"/>
        <n x="56" s="1"/>
        <n x="55" s="1"/>
      </t>
    </mdx>
    <mdx n="0" f="v">
      <t c="4" si="6">
        <n x="44"/>
        <n x="2"/>
        <n x="56" s="1"/>
        <n x="55" s="1"/>
      </t>
    </mdx>
    <mdx n="0" f="v">
      <t c="4" si="6">
        <n x="14"/>
        <n x="2"/>
        <n x="56" s="1"/>
        <n x="55" s="1"/>
      </t>
    </mdx>
    <mdx n="0" f="v">
      <t c="4" si="6">
        <n x="35"/>
        <n x="2"/>
        <n x="56" s="1"/>
        <n x="55" s="1"/>
      </t>
    </mdx>
    <mdx n="0" f="v">
      <t c="4" si="6">
        <n x="47"/>
        <n x="2"/>
        <n x="56" s="1"/>
        <n x="55" s="1"/>
      </t>
    </mdx>
    <mdx n="0" f="v">
      <t c="4" si="6">
        <n x="48"/>
        <n x="2"/>
        <n x="56" s="1"/>
        <n x="55" s="1"/>
      </t>
    </mdx>
    <mdx n="0" f="v">
      <t c="4" si="6">
        <n x="53"/>
        <n x="2"/>
        <n x="56" s="1"/>
        <n x="55" s="1"/>
      </t>
    </mdx>
    <mdx n="0" f="v">
      <t c="3" si="6">
        <n x="4"/>
        <n x="2"/>
        <n x="56" s="1"/>
      </t>
    </mdx>
    <mdx n="0" f="v">
      <t c="4" si="6">
        <n x="30"/>
        <n x="2"/>
        <n x="56" s="1"/>
        <n x="55" s="1"/>
      </t>
    </mdx>
  </mdxMetadata>
  <futureMetadata name="XLDAPR" count="1">
    <bk>
      <extLst>
        <ext uri="{bdbb8cdc-fa1e-496e-a857-3c3f30c029c3}">
          <xda:dynamicArrayProperties fDynamic="1" fCollapsed="0"/>
        </ext>
      </extLst>
    </bk>
  </futureMetadata>
  <cellMetadata count="1">
    <bk>
      <rc t="2" v="0"/>
    </bk>
  </cellMetadata>
  <valueMetadata count="10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valueMetadata>
</metadata>
</file>

<file path=xl/sharedStrings.xml><?xml version="1.0" encoding="utf-8"?>
<sst xmlns="http://schemas.openxmlformats.org/spreadsheetml/2006/main" count="1061" uniqueCount="535">
  <si>
    <t>Total Revenue</t>
  </si>
  <si>
    <t>Row Labels</t>
  </si>
  <si>
    <t>Jan</t>
  </si>
  <si>
    <t>Feb</t>
  </si>
  <si>
    <t>Mar</t>
  </si>
  <si>
    <t>Apr</t>
  </si>
  <si>
    <t>May</t>
  </si>
  <si>
    <t>Jun</t>
  </si>
  <si>
    <t>Jul</t>
  </si>
  <si>
    <t>Aug</t>
  </si>
  <si>
    <t>Sep</t>
  </si>
  <si>
    <t>Oct</t>
  </si>
  <si>
    <t>Nov</t>
  </si>
  <si>
    <t>Dec</t>
  </si>
  <si>
    <t>First Class</t>
  </si>
  <si>
    <t>Same Day</t>
  </si>
  <si>
    <t>Second Class</t>
  </si>
  <si>
    <t>Standard Class</t>
  </si>
  <si>
    <t>Count of Order ID</t>
  </si>
  <si>
    <t>4Days</t>
  </si>
  <si>
    <t>2Days</t>
  </si>
  <si>
    <t>5Days</t>
  </si>
  <si>
    <t>3Days</t>
  </si>
  <si>
    <t>6Days</t>
  </si>
  <si>
    <t>0Days</t>
  </si>
  <si>
    <t>7Days</t>
  </si>
  <si>
    <t>1Days</t>
  </si>
  <si>
    <t>Total Profit</t>
  </si>
  <si>
    <t>Consumer</t>
  </si>
  <si>
    <t>Corporate</t>
  </si>
  <si>
    <t>Home Office</t>
  </si>
  <si>
    <t>Revenue By Segment</t>
  </si>
  <si>
    <t>Revenue By Region and States</t>
  </si>
  <si>
    <t>Revenue By Category</t>
  </si>
  <si>
    <t xml:space="preserve">Shipping Duration </t>
  </si>
  <si>
    <t>Highest Profit</t>
  </si>
  <si>
    <t>Lowest Profit</t>
  </si>
  <si>
    <t>Shipping Mode</t>
  </si>
  <si>
    <t>Monthly Revenue Trend</t>
  </si>
  <si>
    <t>2014</t>
  </si>
  <si>
    <t>2015</t>
  </si>
  <si>
    <t>2016</t>
  </si>
  <si>
    <t>2017</t>
  </si>
  <si>
    <t>Grand Total</t>
  </si>
  <si>
    <t>Total Profit &amp; %YOY</t>
  </si>
  <si>
    <t>Total Discount &amp; %YOY</t>
  </si>
  <si>
    <t>Total Cost &amp; %YOY</t>
  </si>
  <si>
    <t>Michigan</t>
  </si>
  <si>
    <t>Washington</t>
  </si>
  <si>
    <t>New York</t>
  </si>
  <si>
    <t>California</t>
  </si>
  <si>
    <t>South Dakota</t>
  </si>
  <si>
    <t>KPIs</t>
  </si>
  <si>
    <t>AdjustedKPIs</t>
  </si>
  <si>
    <t>Date (Year)</t>
  </si>
  <si>
    <t>Central</t>
  </si>
  <si>
    <t>East</t>
  </si>
  <si>
    <t>South</t>
  </si>
  <si>
    <t>West</t>
  </si>
  <si>
    <t>KPIsYOYProfit</t>
  </si>
  <si>
    <t>KPIsProfit</t>
  </si>
  <si>
    <t>KPIsDiscount</t>
  </si>
  <si>
    <t>KPIsYOYDiscount</t>
  </si>
  <si>
    <t>KPIsCost</t>
  </si>
  <si>
    <t>KPIsYOYCost</t>
  </si>
  <si>
    <t>View</t>
  </si>
  <si>
    <t>Revenue</t>
  </si>
  <si>
    <t>Profit</t>
  </si>
  <si>
    <t>Quantity Sold</t>
  </si>
  <si>
    <t>Performance_KPIs1</t>
  </si>
  <si>
    <t>Cost</t>
  </si>
  <si>
    <t>Los Angeles</t>
  </si>
  <si>
    <t>New York City</t>
  </si>
  <si>
    <t>San Francisco</t>
  </si>
  <si>
    <t>Seattle</t>
  </si>
  <si>
    <t>Springfield</t>
  </si>
  <si>
    <t xml:space="preserve">Rating by Cities </t>
  </si>
  <si>
    <t>#Number of Orders</t>
  </si>
  <si>
    <t>Profitability Rate</t>
  </si>
  <si>
    <t>Anna Andreadi</t>
  </si>
  <si>
    <t>Cassandra Brandow</t>
  </si>
  <si>
    <t>Chuck Magee</t>
  </si>
  <si>
    <t>Kelly Williams</t>
  </si>
  <si>
    <t>Table 1</t>
  </si>
  <si>
    <t>Red</t>
  </si>
  <si>
    <t>Blue</t>
  </si>
  <si>
    <t xml:space="preserve">Orange </t>
  </si>
  <si>
    <t>green</t>
  </si>
  <si>
    <t>Omitted</t>
  </si>
  <si>
    <t>Total</t>
  </si>
  <si>
    <t>Table 2</t>
  </si>
  <si>
    <t>Table 3</t>
  </si>
  <si>
    <t>Speedometer</t>
  </si>
  <si>
    <t>#Number of Customers</t>
  </si>
  <si>
    <t>Virginia</t>
  </si>
  <si>
    <t>Kansas</t>
  </si>
  <si>
    <t>Montana</t>
  </si>
  <si>
    <t>Maine</t>
  </si>
  <si>
    <t>Texas</t>
  </si>
  <si>
    <t>KPIsQuantity_sold</t>
  </si>
  <si>
    <t>KPIsYOYQuantity_Sold</t>
  </si>
  <si>
    <t>Total Quantity &amp; %YOY</t>
  </si>
  <si>
    <t>#Number of Cities</t>
  </si>
  <si>
    <t xml:space="preserve">#Number of Cities </t>
  </si>
  <si>
    <t>#Orders</t>
  </si>
  <si>
    <t>#Cities</t>
  </si>
  <si>
    <t>#Customers</t>
  </si>
  <si>
    <t>Profit by segement</t>
  </si>
  <si>
    <t>Bookcases</t>
  </si>
  <si>
    <t>Chairs</t>
  </si>
  <si>
    <t>Furnishings</t>
  </si>
  <si>
    <t>Tables</t>
  </si>
  <si>
    <t>Bretford Rectangular Conference Table Tops</t>
  </si>
  <si>
    <t>Bush Advantage Collection Racetrack Conference Table</t>
  </si>
  <si>
    <t>Chromcraft Bull-Nose Wood Oval Conference Tables &amp; Bases</t>
  </si>
  <si>
    <t>DMI Eclipse Executive Suite Bookcases</t>
  </si>
  <si>
    <t>Global Troy Executive Leather Low-Back Tilter</t>
  </si>
  <si>
    <t>GuestStacker Chair with Chrome Finish Legs</t>
  </si>
  <si>
    <t>HON 5400 Series Task Chairs for Big and Tall</t>
  </si>
  <si>
    <t>Hon Deluxe Fabric Upholstered Stacking Chairs, Rounded Back</t>
  </si>
  <si>
    <t>Riverside Palais Royal Lawyers Bookcase, Royale Cherry Finish</t>
  </si>
  <si>
    <t>SAFCO Arco Folding Chair</t>
  </si>
  <si>
    <t>12-1/2 Diameter Round Wall Clock</t>
  </si>
  <si>
    <t>24-Hour Round Wall Clock</t>
  </si>
  <si>
    <t>36X48 HARDFLOOR CHAIRMAT</t>
  </si>
  <si>
    <t>3M Hangers With Command Adhesive</t>
  </si>
  <si>
    <t>3M Polarizing Light Filter Sleeves</t>
  </si>
  <si>
    <t>3M Polarizing Task Lamp with Clamp Arm, Light Gray</t>
  </si>
  <si>
    <t>6" Cubicle Wall Clock, Black</t>
  </si>
  <si>
    <t>9-3/4 Diameter Round Wall Clock</t>
  </si>
  <si>
    <t>Acrylic Self-Standing Desk Frames</t>
  </si>
  <si>
    <t>Advantus Employee of the Month Certificate Frame, 11 x 13-1/2</t>
  </si>
  <si>
    <t>Advantus Panel Wall Acrylic Frame</t>
  </si>
  <si>
    <t>Advantus Panel Wall Certificate Holder - 8.5x11</t>
  </si>
  <si>
    <t>Aluminum Document Frame</t>
  </si>
  <si>
    <t>Anderson Hickey Conga Table Tops &amp; Accessories</t>
  </si>
  <si>
    <t>Artistic Insta-Plaque</t>
  </si>
  <si>
    <t>Atlantic Metals Mobile 2-Shelf Bookcases, Custom Colors</t>
  </si>
  <si>
    <t>Atlantic Metals Mobile 3-Shelf Bookcases, Custom Colors</t>
  </si>
  <si>
    <t>Atlantic Metals Mobile 4-Shelf Bookcases, Custom Colors</t>
  </si>
  <si>
    <t>Atlantic Metals Mobile 5-Shelf Bookcases, Custom Colors</t>
  </si>
  <si>
    <t>Balt Solid Wood Rectangular Table</t>
  </si>
  <si>
    <t>Balt Solid Wood Round Tables</t>
  </si>
  <si>
    <t>Balt Split Level Computer Training Table</t>
  </si>
  <si>
    <t>Barricks 18" x 48" Non-Folding Utility Table with Bottom Storage Shelf</t>
  </si>
  <si>
    <t>Barricks Non-Folding Utility Table with Steel Legs, Laminate Tops</t>
  </si>
  <si>
    <t>Bestar Classic Bookcase</t>
  </si>
  <si>
    <t>Bevis 36 x 72 Conference Tables</t>
  </si>
  <si>
    <t>Bevis 44 x 96 Conference Tables</t>
  </si>
  <si>
    <t>Bevis Boat-Shaped Conference Table</t>
  </si>
  <si>
    <t>Bevis Oval Conference Table, Walnut</t>
  </si>
  <si>
    <t>Bevis Rectangular Conference Tables</t>
  </si>
  <si>
    <t>Bevis Round Bullnose 29" High Table Top</t>
  </si>
  <si>
    <t>Bevis Round Conference Room Tables and Bases</t>
  </si>
  <si>
    <t>Bevis Round Conference Table Top &amp; Single Column Base</t>
  </si>
  <si>
    <t>Bevis Round Conference Table Top, X-Base</t>
  </si>
  <si>
    <t>Bevis Steel Folding Chairs</t>
  </si>
  <si>
    <t>Bevis Traditional Conference Table Top, Plinth Base</t>
  </si>
  <si>
    <t>BoxOffice By Design Rectangular and Half-Moon Meeting Room Tables</t>
  </si>
  <si>
    <t>BPI Conference Tables</t>
  </si>
  <si>
    <t>Bretford CR4500 Series Slim Rectangular Table</t>
  </si>
  <si>
    <t>Bretford CR8500 Series Meeting Room Furniture</t>
  </si>
  <si>
    <t>Bretford ÒJust In TimeÓ Height-Adjustable Multi-Task Work Tables</t>
  </si>
  <si>
    <t>Bush Advantage Collection Round Conference Table</t>
  </si>
  <si>
    <t>Bush Andora Bookcase, Maple/Graphite Gray Finish</t>
  </si>
  <si>
    <t>Bush Andora Conference Table, Maple/Graphite Gray Finish</t>
  </si>
  <si>
    <t>Bush Birmingham Collection Bookcase, Dark Cherry</t>
  </si>
  <si>
    <t>Bush Cubix Collection Bookcases, Fully Assembled</t>
  </si>
  <si>
    <t>Bush Cubix Conference Tables, Fully Assembled</t>
  </si>
  <si>
    <t>Bush Heritage Pine Collection 5-Shelf Bookcase, Albany Pine Finish, *Special Order</t>
  </si>
  <si>
    <t>Bush Mission Pointe Library</t>
  </si>
  <si>
    <t>Bush Saratoga Collection 5-Shelf Bookcase, Hanover Cherry, *Special Order</t>
  </si>
  <si>
    <t>Bush Somerset Collection Bookcase</t>
  </si>
  <si>
    <t>Bush Westfield Collection Bookcases, Dark Cherry Finish</t>
  </si>
  <si>
    <t>Bush Westfield Collection Bookcases, Dark Cherry Finish, Fully Assembled</t>
  </si>
  <si>
    <t>Bush Westfield Collection Bookcases, Fully Assembled</t>
  </si>
  <si>
    <t>Bush Westfield Collection Bookcases, Medium Cherry Finish</t>
  </si>
  <si>
    <t>Career Cubicle Clock, 8 1/4", Black</t>
  </si>
  <si>
    <t>Chromcraft 48" x 96" Racetrack Double Pedestal Table</t>
  </si>
  <si>
    <t>Chromcraft Bull-Nose Wood 48" x 96" Rectangular Conference Tables</t>
  </si>
  <si>
    <t>Chromcraft Bull-Nose Wood Round Conference Table Top, Wood Base</t>
  </si>
  <si>
    <t>Chromcraft Rectangular Conference Tables</t>
  </si>
  <si>
    <t>Chromcraft Round Conference Tables</t>
  </si>
  <si>
    <t>C-Line Cubicle Keepers Polyproplyene Holder w/Velcro Back, 8-1/2x11, 25/Bx</t>
  </si>
  <si>
    <t>C-Line Cubicle Keepers Polyproplyene Holder With Velcro Backings</t>
  </si>
  <si>
    <t>C-Line Magnetic Cubicle Keepers, Clear Polypropylene</t>
  </si>
  <si>
    <t>Coloredge Poster Frame</t>
  </si>
  <si>
    <t>Computer Room Manger, 14"</t>
  </si>
  <si>
    <t>Contemporary Borderless Frame</t>
  </si>
  <si>
    <t>Contemporary Wood/Metal Frame</t>
  </si>
  <si>
    <t>Contract Clock, 14", Brown</t>
  </si>
  <si>
    <t>Dana Fluorescent Magnifying Lamp, White, 36"</t>
  </si>
  <si>
    <t>Dana Halogen Swing-Arm Architect Lamp</t>
  </si>
  <si>
    <t>Dana Swing-Arm Lamps</t>
  </si>
  <si>
    <t>DataProducts Ampli Magnifier Task Lamp, Black,</t>
  </si>
  <si>
    <t>DAX Black Cherry Wood-Tone Poster Frame</t>
  </si>
  <si>
    <t>DAX Charcoal/Nickel-Tone Document Frame, 5 x 7</t>
  </si>
  <si>
    <t>Dax Clear Box Frame</t>
  </si>
  <si>
    <t>DAX Clear Channel Poster Frame</t>
  </si>
  <si>
    <t>DAX Contemporary Wood Frame with Silver Metal Mat, Desktop, 11 x 14 Size</t>
  </si>
  <si>
    <t>DAX Copper Panel Document Frame, 5 x 7 Size</t>
  </si>
  <si>
    <t>DAX Cubicle Frames - 8x10</t>
  </si>
  <si>
    <t>DAX Cubicle Frames, 8-1/2 x 11</t>
  </si>
  <si>
    <t>DAX Executive Solid Wood Document Frame, Desktop or Hang, Mahogany, 5 x 7</t>
  </si>
  <si>
    <t>DAX Metal Frame, Desktop, Stepped-Edge</t>
  </si>
  <si>
    <t>DAX Natural Wood-Tone Poster Frame</t>
  </si>
  <si>
    <t>DAX Solid Wood Frames</t>
  </si>
  <si>
    <t>DAX Two-Tone Rosewood/Black Document Frame, Desktop, 5 x 7</t>
  </si>
  <si>
    <t>DAX Two-Tone Silver Metal Document Frame</t>
  </si>
  <si>
    <t>DAX Value U-Channel Document Frames, Easel Back</t>
  </si>
  <si>
    <t>DAX Wood Document Frame</t>
  </si>
  <si>
    <t>DAX Wood Document Frame.</t>
  </si>
  <si>
    <t>Deflect-o DuraMat Antistatic Studded Beveled Mat for Medium Pile Carpeting</t>
  </si>
  <si>
    <t>Deflect-o DuraMat Lighweight, Studded, Beveled Mat for Low Pile Carpeting</t>
  </si>
  <si>
    <t>Deflect-o EconoMat Nonstudded, No Bevel Mat</t>
  </si>
  <si>
    <t>Deflect-o EconoMat Studded, No Bevel Mat for Low Pile Carpeting</t>
  </si>
  <si>
    <t>Deflect-o Glass Clear Studded Chair Mats</t>
  </si>
  <si>
    <t>Deflect-O Glasstique Clear Desk Accessories</t>
  </si>
  <si>
    <t>Deflect-o RollaMat Studded, Beveled Mat for Medium Pile Carpeting</t>
  </si>
  <si>
    <t>Deflect-o SuperTray Unbreakable Stackable Tray, Letter, Black</t>
  </si>
  <si>
    <t>DMI Arturo Collection Mission-style Design Wood Chair</t>
  </si>
  <si>
    <t>Document Clip Frames</t>
  </si>
  <si>
    <t>Eldon "L" Workstation Diamond Chairmat</t>
  </si>
  <si>
    <t>Eldon 100 Class Desk Accessories</t>
  </si>
  <si>
    <t>Eldon 200 Class Desk Accessories</t>
  </si>
  <si>
    <t>Eldon 200 Class Desk Accessories, Black</t>
  </si>
  <si>
    <t>Eldon 200 Class Desk Accessories, Burgundy</t>
  </si>
  <si>
    <t>Eldon 200 Class Desk Accessories, Smoke</t>
  </si>
  <si>
    <t>Eldon 300 Class Desk Accessories, Black</t>
  </si>
  <si>
    <t>Eldon 400 Class Desk Accessories, Black Carbon</t>
  </si>
  <si>
    <t>Eldon 500 Class Desk Accessories</t>
  </si>
  <si>
    <t>Eldon Advantage Chair Mats for Low to Medium Pile Carpets</t>
  </si>
  <si>
    <t>Eldon Advantage Foldable Chair Mats for Low Pile Carpets</t>
  </si>
  <si>
    <t>Eldon Antistatic Chair Mats for Low to Medium Pile Carpets</t>
  </si>
  <si>
    <t>Eldon Cleatmat Chair Mats for Medium Pile Carpets</t>
  </si>
  <si>
    <t>Eldon Cleatmat Plus Chair Mats for High Pile Carpets</t>
  </si>
  <si>
    <t>Eldon ClusterMat Chair Mat with Cordless Antistatic Protection</t>
  </si>
  <si>
    <t>Eldon Delta Triangular Chair Mat, 52" x 58", Clear</t>
  </si>
  <si>
    <t>Eldon Econocleat Chair Mats for Low Pile Carpets</t>
  </si>
  <si>
    <t>Eldon Executive Woodline II Cherry Finish Desk Accessories</t>
  </si>
  <si>
    <t>Eldon Executive Woodline II Desk Accessories, Mahogany</t>
  </si>
  <si>
    <t>Eldon Expressions Desk Accessory, Wood Pencil Holder, Oak</t>
  </si>
  <si>
    <t>Eldon Expressions Desk Accessory, Wood Photo Frame, Mahogany</t>
  </si>
  <si>
    <t>Eldon Expressions Mahogany Wood Desk Collection</t>
  </si>
  <si>
    <t>Eldon Expressions Punched Metal &amp; Wood Desk Accessories, Black &amp; Cherry</t>
  </si>
  <si>
    <t>Eldon Expressions Punched Metal &amp; Wood Desk Accessories, Pewter &amp; Cherry</t>
  </si>
  <si>
    <t>Eldon Expressions Wood and Plastic Desk Accessories, Cherry Wood</t>
  </si>
  <si>
    <t>Eldon Expressions Wood and Plastic Desk Accessories, Oak</t>
  </si>
  <si>
    <t>Eldon Expressions Wood Desk Accessories, Oak</t>
  </si>
  <si>
    <t>Eldon Imˆge Series Desk Accessories, Clear</t>
  </si>
  <si>
    <t>Eldon Image Series Black Desk Accessories</t>
  </si>
  <si>
    <t>Eldon Image Series Desk Accessories, Burgundy</t>
  </si>
  <si>
    <t>Eldon Image Series Desk Accessories, Ebony</t>
  </si>
  <si>
    <t>Eldon Pizzaz Desk Accessories</t>
  </si>
  <si>
    <t>Eldon Radial Chair Mat for Low to Medium Pile Carpets</t>
  </si>
  <si>
    <t>Eldon Regeneration Recycled Desk Accessories, Black</t>
  </si>
  <si>
    <t>Eldon Regeneration Recycled Desk Accessories, Smoke</t>
  </si>
  <si>
    <t>Eldon Stackable Tray, Side-Load, Legal, Smoke</t>
  </si>
  <si>
    <t>Eldon Wave Desk Accessories</t>
  </si>
  <si>
    <t>Electrix 20W Halogen Replacement Bulb for Zoom-In Desk Lamp</t>
  </si>
  <si>
    <t>Electrix Architect's Clamp-On Swing Arm Lamp, Black</t>
  </si>
  <si>
    <t>Electrix Fluorescent Magnifier Lamps &amp; Weighted Base</t>
  </si>
  <si>
    <t>Electrix Halogen Magnifier Lamp</t>
  </si>
  <si>
    <t>Electrix Incandescent Magnifying Lamp, Black</t>
  </si>
  <si>
    <t>Executive Impressions 10" Spectator Wall Clock</t>
  </si>
  <si>
    <t>Executive Impressions 12" Wall Clock</t>
  </si>
  <si>
    <t>Executive Impressions 13" Chairman Wall Clock</t>
  </si>
  <si>
    <t>Executive Impressions 13" Clairmont Wall Clock</t>
  </si>
  <si>
    <t>Executive Impressions 13-1/2" Indoor/Outdoor Wall Clock</t>
  </si>
  <si>
    <t>Executive Impressions 14"</t>
  </si>
  <si>
    <t>Executive Impressions 14" Contract Wall Clock</t>
  </si>
  <si>
    <t>Executive Impressions 14" Contract Wall Clock with Quartz Movement</t>
  </si>
  <si>
    <t>Executive Impressions 14" Two-Color Numerals Wall Clock</t>
  </si>
  <si>
    <t>Executive Impressions 16-1/2" Circular Wall Clock</t>
  </si>
  <si>
    <t>Executive Impressions 8-1/2" Career Panel/Partition Cubicle Clock</t>
  </si>
  <si>
    <t>Executive Impressions Supervisor Wall Clock</t>
  </si>
  <si>
    <t>Flat Face Poster Frame</t>
  </si>
  <si>
    <t>Floodlight Indoor Halogen Bulbs, 1 Bulb per Pack, 60 Watts</t>
  </si>
  <si>
    <t>G.E. Halogen Desk Lamp Bulbs</t>
  </si>
  <si>
    <t>G.E. Longer-Life Indoor Recessed Floodlight Bulbs</t>
  </si>
  <si>
    <t>GE 4 Foot Flourescent Tube, 40 Watt</t>
  </si>
  <si>
    <t>GE 48" Fluorescent Tube, Cool White Energy Saver, 34 Watts, 30/Box</t>
  </si>
  <si>
    <t>GE General Purpose, Extra Long Life, Showcase &amp; Floodlight Incandescent Bulbs</t>
  </si>
  <si>
    <t>GE General Use Halogen Bulbs, 100 Watts, 1 Bulb per Pack</t>
  </si>
  <si>
    <t>Global Adaptabilites Bookcase, Cherry/Storm Gray Finish</t>
  </si>
  <si>
    <t>Global Adaptabilities Conference Tables</t>
  </si>
  <si>
    <t>Global Airflow Leather Mesh Back Chair, Black</t>
  </si>
  <si>
    <t>Global Armless Task Chair, Royal Blue</t>
  </si>
  <si>
    <t>Global Chrome Stack Chair</t>
  </si>
  <si>
    <t>Global Comet Stacking Arm Chair</t>
  </si>
  <si>
    <t>Global Comet Stacking Armless Chair</t>
  </si>
  <si>
    <t>Global Commerce Series High-Back Swivel/Tilt Chairs</t>
  </si>
  <si>
    <t>Global Commerce Series Low-Back Swivel/Tilt Chairs</t>
  </si>
  <si>
    <t>Global Deluxe High-Back Manager's Chair</t>
  </si>
  <si>
    <t>Global Deluxe High-Back Office Chair in Storm</t>
  </si>
  <si>
    <t>Global Deluxe Office Fabric Chairs</t>
  </si>
  <si>
    <t>Global Deluxe Stacking Chair, Gray</t>
  </si>
  <si>
    <t>Global Deluxe Steno Chair</t>
  </si>
  <si>
    <t>Global Enterprise Series Seating High-Back Swivel/Tilt Chairs</t>
  </si>
  <si>
    <t>Global Enterprise Series Seating Low-Back Swivel/Tilt Chairs</t>
  </si>
  <si>
    <t>Global Ergonomic Managers Chair</t>
  </si>
  <si>
    <t>Global Executive Mid-Back Manager's Chair</t>
  </si>
  <si>
    <t>Global Fabric Manager's Chair, Dark Gray</t>
  </si>
  <si>
    <t>Global Geo Office Task Chair, Gray</t>
  </si>
  <si>
    <t>Global Highback Leather Tilter in Burgundy</t>
  </si>
  <si>
    <t>Global High-Back Leather Tilter, Burgundy</t>
  </si>
  <si>
    <t>Global Italian Leather Office Chair</t>
  </si>
  <si>
    <t>Global Leather &amp; Oak Executive Chair, Burgundy</t>
  </si>
  <si>
    <t>Global Leather and Oak Executive Chair, Black</t>
  </si>
  <si>
    <t>Global Leather Executive Chair</t>
  </si>
  <si>
    <t>Global Leather Highback Executive Chair with Pneumatic Height Adjustment, Black</t>
  </si>
  <si>
    <t>Global Leather Task Chair, Black</t>
  </si>
  <si>
    <t>Global Low Back Tilter Chair</t>
  </si>
  <si>
    <t>Global Manager's Adjustable Task Chair, Storm</t>
  </si>
  <si>
    <t>Global Push Button Manager's Chair, Indigo</t>
  </si>
  <si>
    <t>Global Stack Chair with Arms, Black</t>
  </si>
  <si>
    <t>Global Stack Chair without Arms, Black</t>
  </si>
  <si>
    <t>Global Super Steno Chair</t>
  </si>
  <si>
    <t>Global Task Chair, Black</t>
  </si>
  <si>
    <t>Global Value Mid-Back Manager's Chair, Gray</t>
  </si>
  <si>
    <t>Global Value Steno Chair, Gray</t>
  </si>
  <si>
    <t>Global Wood Trimmed Manager's Task Chair, Khaki</t>
  </si>
  <si>
    <t>Hand-Finished Solid Wood Document Frame</t>
  </si>
  <si>
    <t>Harbour Creations 67200 Series Stacking Chairs</t>
  </si>
  <si>
    <t>Harbour Creations Steel Folding Chair</t>
  </si>
  <si>
    <t>High-Back Leather Manager's Chair</t>
  </si>
  <si>
    <t>Hon 2090 ÒPillow SoftÓ Series Mid Back Swivel/Tilt Chairs</t>
  </si>
  <si>
    <t>Hon 2111 Invitation Series Corner Table</t>
  </si>
  <si>
    <t>Hon 2111 Invitation Series Straight Table</t>
  </si>
  <si>
    <t>Hon 30" x 60" Table with Locking Drawer</t>
  </si>
  <si>
    <t>Hon 4060 Series Tables</t>
  </si>
  <si>
    <t>Hon 4070 Series Pagoda Armless Upholstered Stacking Chairs</t>
  </si>
  <si>
    <t>Hon 4070 Series Pagoda Round Back Stacking Chairs</t>
  </si>
  <si>
    <t>Hon 4700 Series Mobuis Mid-Back Task Chairs with Adjustable Arms</t>
  </si>
  <si>
    <t>Hon 4-Shelf Metal Bookcases</t>
  </si>
  <si>
    <t>Hon 5100 Series Wood Tables</t>
  </si>
  <si>
    <t>Hon 61000 Series Interactive Training Tables</t>
  </si>
  <si>
    <t>Hon 94000 Series Round Tables</t>
  </si>
  <si>
    <t>Hon Comfortask Task/Swivel Chairs</t>
  </si>
  <si>
    <t>Hon Deluxe Fabric Upholstered Stacking Chairs</t>
  </si>
  <si>
    <t>Hon Deluxe Fabric Upholstered Stacking Chairs, Squared Back</t>
  </si>
  <si>
    <t>Hon Every-Day Chair Series Swivel Task Chairs</t>
  </si>
  <si>
    <t>Hon Every-Day Series Multi-Task Chairs</t>
  </si>
  <si>
    <t>Hon GuestStacker Chair</t>
  </si>
  <si>
    <t>Hon Metal Bookcases, Black</t>
  </si>
  <si>
    <t>Hon Metal Bookcases, Gray</t>
  </si>
  <si>
    <t>Hon Metal Bookcases, Putty</t>
  </si>
  <si>
    <t>Hon Mobius Operator's Chair</t>
  </si>
  <si>
    <t>Hon Multipurpose Stacking Arm Chairs</t>
  </si>
  <si>
    <t>Hon Non-Folding Utility Tables</t>
  </si>
  <si>
    <t>Hon Olson Stacker Chairs</t>
  </si>
  <si>
    <t>Hon Olson Stacker Stools</t>
  </si>
  <si>
    <t>Hon Pagoda Stacking Chairs</t>
  </si>
  <si>
    <t>Hon Practical Foundations 30 x 60 Training Table, Light Gray/Charcoal</t>
  </si>
  <si>
    <t>Hon Racetrack Conference Tables</t>
  </si>
  <si>
    <t>Hon Rectangular Conference Tables</t>
  </si>
  <si>
    <t>Hon Valutask Swivel Chairs</t>
  </si>
  <si>
    <t>Howard Miller 11-1/2" Diameter Brentwood Wall Clock</t>
  </si>
  <si>
    <t>Howard Miller 11-1/2" Diameter Grantwood Wall Clock</t>
  </si>
  <si>
    <t>Howard Miller 11-1/2" Diameter Ridgewood Wall Clock</t>
  </si>
  <si>
    <t>Howard Miller 12" Round Wall Clock</t>
  </si>
  <si>
    <t>Howard Miller 12-3/4 Diameter Accuwave DS  Wall Clock</t>
  </si>
  <si>
    <t>Howard Miller 13" Diameter Goldtone Round Wall Clock</t>
  </si>
  <si>
    <t>Howard Miller 13" Diameter Pewter Finish Round Wall Clock</t>
  </si>
  <si>
    <t>Howard Miller 13-1/2" Diameter Rosebrook Wall Clock</t>
  </si>
  <si>
    <t>Howard Miller 13-3/4" Diameter Brushed Chrome Round Wall Clock</t>
  </si>
  <si>
    <t>Howard Miller 14-1/2" Diameter Chrome Round Wall Clock</t>
  </si>
  <si>
    <t>Howard Miller 16" Diameter Gallery Wall Clock</t>
  </si>
  <si>
    <t>Howard Miller Distant Time Traveler Alarm Clock</t>
  </si>
  <si>
    <t>Iceberg Nesting Folding Chair, 19w x 6d x 43h</t>
  </si>
  <si>
    <t>Iceberg OfficeWorks 42" Round Tables</t>
  </si>
  <si>
    <t>KI Adjustable-Height Table</t>
  </si>
  <si>
    <t>KI Conference Tables</t>
  </si>
  <si>
    <t>Laminate Occasional Tables</t>
  </si>
  <si>
    <t>Leather Task Chair, Black</t>
  </si>
  <si>
    <t>Lesro Round Back Collection Coffee Table, End Table</t>
  </si>
  <si>
    <t>Lesro Sheffield Collection Coffee Table, End Table, Center Table, Corner Table</t>
  </si>
  <si>
    <t>Lifetime Advantage Folding Chairs, 4/Carton</t>
  </si>
  <si>
    <t>Linden 10" Round Wall Clock, Black</t>
  </si>
  <si>
    <t>Linden 12" Wall Clock With Oak Frame</t>
  </si>
  <si>
    <t>Longer-Life Soft White Bulbs</t>
  </si>
  <si>
    <t>Luxo Adjustable Task Clamp Lamp</t>
  </si>
  <si>
    <t>Luxo Economy Swing Arm Lamp</t>
  </si>
  <si>
    <t>Luxo Professional Combination Clamp-On Lamps</t>
  </si>
  <si>
    <t>Luxo Professional Fluorescent Magnifier Lamp with Clamp-Mount Base</t>
  </si>
  <si>
    <t>Luxo Professional Magnifying Clamp-On Fluorescent Lamps</t>
  </si>
  <si>
    <t>Magna Visual Magnetic Picture Hangers</t>
  </si>
  <si>
    <t>Magnifier Swing Arm Lamp</t>
  </si>
  <si>
    <t>Master Big Foot Doorstop, Beige</t>
  </si>
  <si>
    <t>Master Caster Door Stop, Brown</t>
  </si>
  <si>
    <t>Master Caster Door Stop, Gray</t>
  </si>
  <si>
    <t>Master Caster Door Stop, Large Brown</t>
  </si>
  <si>
    <t>Master Caster Door Stop, Large Neon Orange</t>
  </si>
  <si>
    <t>Master Giant Foot Doorstop, Safety Yellow</t>
  </si>
  <si>
    <t>Metal Folding Chairs, Beige, 4/Carton</t>
  </si>
  <si>
    <t>Novimex Fabric Task Chair</t>
  </si>
  <si>
    <t>Novimex High-Tech Fabric Mesh Task Chair</t>
  </si>
  <si>
    <t>Novimex Swivel Fabric Task Chair</t>
  </si>
  <si>
    <t>Novimex Turbo Task Chair</t>
  </si>
  <si>
    <t>Nu-Dell Executive Frame</t>
  </si>
  <si>
    <t>Nu-Dell EZ-Mount Plastic Wall Frames</t>
  </si>
  <si>
    <t>Nu-Dell Float Frame 11 x 14 1/2</t>
  </si>
  <si>
    <t>Nu-Dell Leatherette Frames</t>
  </si>
  <si>
    <t>Nu-Dell Oak Frame</t>
  </si>
  <si>
    <t>Office Impressions End Table, 20-1/2"H x 24"W x 20"D</t>
  </si>
  <si>
    <t>Office Star - Contemporary Swivel Chair with Padded Adjustable Arms and Flex Back</t>
  </si>
  <si>
    <t>Office Star - Contemporary Task Swivel Chair</t>
  </si>
  <si>
    <t>Office Star - Contemporary Task Swivel chair with 2-way adjustable arms, Plum</t>
  </si>
  <si>
    <t>Office Star - Contemporary Task Swivel chair with Loop Arms, Charcoal</t>
  </si>
  <si>
    <t>Office Star - Ergonomic Mid Back Chair with 2-Way Adjustable Arms</t>
  </si>
  <si>
    <t>Office Star - Ergonomically Designed Knee Chair</t>
  </si>
  <si>
    <t>Office Star - Mesh Screen back chair with Vinyl seat</t>
  </si>
  <si>
    <t>Office Star - Mid Back Dual function Ergonomic High Back Chair with 2-Way Adjustable Arms</t>
  </si>
  <si>
    <t>Office Star - Professional Matrix Back Chair with 2-to-1 Synchro Tilt and Mesh Fabric Seat</t>
  </si>
  <si>
    <t>Office Star - Task Chair with Contemporary Loop Arms</t>
  </si>
  <si>
    <t>Office Star Flex Back Scooter Chair with Aluminum Finish Frame</t>
  </si>
  <si>
    <t>Office Star Flex Back Scooter Chair with White Frame</t>
  </si>
  <si>
    <t>OIC Stacking Trays</t>
  </si>
  <si>
    <t>O'Sullivan 2-Door Barrister Bookcase in Odessa Pine</t>
  </si>
  <si>
    <t>O'Sullivan 2-Shelf Heavy-Duty Bookcases</t>
  </si>
  <si>
    <t>O'Sullivan 3-Shelf Heavy-Duty Bookcases</t>
  </si>
  <si>
    <t>O'Sullivan 4-Shelf Bookcase in Odessa Pine</t>
  </si>
  <si>
    <t>O'Sullivan 5-Shelf Heavy-Duty Bookcases</t>
  </si>
  <si>
    <t>O'Sullivan Cherrywood Estates Traditional Barrister Bookcase</t>
  </si>
  <si>
    <t>O'Sullivan Cherrywood Estates Traditional Bookcase</t>
  </si>
  <si>
    <t>O'Sullivan Elevations Bookcase, Cherry Finish</t>
  </si>
  <si>
    <t>O'Sullivan Living Dimensions 2-Shelf Bookcases</t>
  </si>
  <si>
    <t>O'Sullivan Living Dimensions 3-Shelf Bookcases</t>
  </si>
  <si>
    <t>O'Sullivan Living Dimensions 5-Shelf Bookcases</t>
  </si>
  <si>
    <t>O'Sullivan Manor Hill 2-Door Library in Brianna Oak</t>
  </si>
  <si>
    <t>O'Sullivan Plantations 2-Door Library in Landvery Oak</t>
  </si>
  <si>
    <t>Padded Folding Chairs, Black, 4/Carton</t>
  </si>
  <si>
    <t>Regeneration Desk Collection</t>
  </si>
  <si>
    <t>Riverside Furniture Oval Coffee Table, Oval End Table, End Table with Drawer</t>
  </si>
  <si>
    <t>Riverside Furniture Stanwyck Manor Table Series</t>
  </si>
  <si>
    <t>Rubbermaid ClusterMat Chairmats, Mat Size- 66" x 60", Lip 20" x 11" -90 Degree Angle</t>
  </si>
  <si>
    <t>Rush Hierlooms Collection 1" Thick Stackable Bookcases</t>
  </si>
  <si>
    <t>Rush Hierlooms Collection Rich Wood Bookcases</t>
  </si>
  <si>
    <t>Safco Chair Connectors, 6/Carton</t>
  </si>
  <si>
    <t>Safco Contoured Stacking Chairs</t>
  </si>
  <si>
    <t>Safco Drafting Table</t>
  </si>
  <si>
    <t>SAFCO Folding Chair Trolley</t>
  </si>
  <si>
    <t>SAFCO Optional Arm Kit for Workspace Cribbage Stacking Chair</t>
  </si>
  <si>
    <t>SAFCO PlanMaster Boards, 60w x 37-1/2d, White Melamine</t>
  </si>
  <si>
    <t>SAFCO PlanMaster Heigh-Adjustable Drafting Table Base, 43w x 30d x 30-37h, Black</t>
  </si>
  <si>
    <t>Safco Value Mate Series Steel Bookcases, Baked Enamel Finish on Steel, Gray</t>
  </si>
  <si>
    <t>Safco Value Mate Steel Bookcase, Baked Enamel Finish on Steel, Black</t>
  </si>
  <si>
    <t>Sauder Barrister Bookcases</t>
  </si>
  <si>
    <t>Sauder Camden County Barrister Bookcase, Planked Cherry Finish</t>
  </si>
  <si>
    <t>Sauder Camden County Collection Libraries, Planked Cherry Finish</t>
  </si>
  <si>
    <t>Sauder Camden County Collection Library</t>
  </si>
  <si>
    <t>Sauder Cornerstone Collection Library</t>
  </si>
  <si>
    <t>Sauder Facets Collection Library, Sky Alder Finish</t>
  </si>
  <si>
    <t>Sauder Forest Hills Library with Doors, Woodland Oak Finish</t>
  </si>
  <si>
    <t>Sauder Forest Hills Library, Woodland Oak Finish</t>
  </si>
  <si>
    <t>Sauder Inglewood Library Bookcases</t>
  </si>
  <si>
    <t>Sauder Mission Library with Doors, Fruitwood Finish</t>
  </si>
  <si>
    <t>Seth Thomas 12" Clock w/ Goldtone Case</t>
  </si>
  <si>
    <t>Seth Thomas 13 1/2" Wall Clock</t>
  </si>
  <si>
    <t>Seth Thomas 14" Day/Date Wall Clock</t>
  </si>
  <si>
    <t>Seth Thomas 14" Putty-Colored Wall Clock</t>
  </si>
  <si>
    <t>Seth Thomas 16" Steel Case Clock</t>
  </si>
  <si>
    <t>Seth Thomas 8 1/2" Cubicle Clock</t>
  </si>
  <si>
    <t>Situations Contoured Folding Chairs, 4/Set</t>
  </si>
  <si>
    <t>Stackable Trays</t>
  </si>
  <si>
    <t>Stacking Tray, Side-Loading, Legal, Smoke</t>
  </si>
  <si>
    <t>Stacking Trays by OIC</t>
  </si>
  <si>
    <t>Staple-based wall hangings</t>
  </si>
  <si>
    <t>Telescoping Adjustable Floor Lamp</t>
  </si>
  <si>
    <t>Tenex "The Solids" Textured Chair Mats</t>
  </si>
  <si>
    <t>Tenex 46" x 60" Computer Anti-Static Chairmat, Rectangular Shaped</t>
  </si>
  <si>
    <t>Tenex Antistatic Computer Chair Mats</t>
  </si>
  <si>
    <t>Tenex B1-RE Series Chair Mats for Low Pile Carpets</t>
  </si>
  <si>
    <t>Tenex Carpeted, Granite-Look or Clear Contemporary Contour Shape Chair Mats</t>
  </si>
  <si>
    <t>Tenex Chairmat w/ Average Lip, 45" x 53"</t>
  </si>
  <si>
    <t>Tenex Chairmats For Use With Carpeted Floors</t>
  </si>
  <si>
    <t>Tenex Chairmats For Use with Hard Floors</t>
  </si>
  <si>
    <t>Tenex Contemporary Contur Chairmats for Low and Medium Pile Carpet, Computer, 39" x 49"</t>
  </si>
  <si>
    <t>Tenex Traditional Chairmats for Hard Floors, Average Lip, 36" x 48"</t>
  </si>
  <si>
    <t>Tenex Traditional Chairmats for Medium Pile Carpet, Standard Lip, 36" x 48"</t>
  </si>
  <si>
    <t>Tenex V2T-RE Standard Weight Series Chair Mat, 45" x 53", Lip 25" x 12"</t>
  </si>
  <si>
    <t>Tensor "Hersey Kiss" Styled Floor Lamp</t>
  </si>
  <si>
    <t>Tensor Brushed Steel Torchiere Floor Lamp</t>
  </si>
  <si>
    <t>Tensor Computer Mounted Lamp</t>
  </si>
  <si>
    <t>Tensor Track Tree Floor Lamp</t>
  </si>
  <si>
    <t>Ultra Commercial Grade Dual Valve Door Closer</t>
  </si>
  <si>
    <t>Ultra Door Kickplate, 8"H x 34"W</t>
  </si>
  <si>
    <t>Ultra Door Pull Handle</t>
  </si>
  <si>
    <t>Ultra Door Push Plate</t>
  </si>
  <si>
    <t>Westinghouse Clip-On Gooseneck Lamps</t>
  </si>
  <si>
    <t>Westinghouse Floor Lamp with Metal Mesh Shade, Black</t>
  </si>
  <si>
    <t>Westinghouse Mesh Shade Clip-On Gooseneck Lamp, Black</t>
  </si>
  <si>
    <t>Detroit</t>
  </si>
  <si>
    <t>Product Name</t>
  </si>
  <si>
    <t>Top_10</t>
  </si>
  <si>
    <t>Selected_Product</t>
  </si>
  <si>
    <t>Fitter</t>
  </si>
  <si>
    <t>Bottom_10</t>
  </si>
  <si>
    <t>Position</t>
  </si>
  <si>
    <t>Product</t>
  </si>
  <si>
    <t xml:space="preserve">Revenue </t>
  </si>
  <si>
    <t>Title</t>
  </si>
  <si>
    <t>Chart for Top_10 and Others</t>
  </si>
  <si>
    <t xml:space="preserve">Highest Performance </t>
  </si>
  <si>
    <t>Others</t>
  </si>
  <si>
    <t>Total Quantity Sold</t>
  </si>
  <si>
    <t>Total Discount</t>
  </si>
  <si>
    <t xml:space="preserve">% Discount </t>
  </si>
  <si>
    <t>%Profit</t>
  </si>
  <si>
    <t>#Order</t>
  </si>
  <si>
    <t xml:space="preserve">Title </t>
  </si>
  <si>
    <t>Discount</t>
  </si>
  <si>
    <t>Profit by Category</t>
  </si>
  <si>
    <t>Top_10 Product Performance Measures------------------------------Top_10 Product Performance Measures</t>
  </si>
  <si>
    <t>Top_10 &amp; Bottom_10 Product Performance by Revenue------------------------------Top_10 &amp; Bottom_10 Product Performance by Revenue</t>
  </si>
  <si>
    <t>Date (Quarter)</t>
  </si>
  <si>
    <t>Q1</t>
  </si>
  <si>
    <t>Q2</t>
  </si>
  <si>
    <t>Q3</t>
  </si>
  <si>
    <t>Q4</t>
  </si>
  <si>
    <t>Profit by Quarter</t>
  </si>
  <si>
    <t>Greeley</t>
  </si>
  <si>
    <t>Allentown</t>
  </si>
  <si>
    <t>Hillsboro</t>
  </si>
  <si>
    <t>Coral Gables</t>
  </si>
  <si>
    <t>Cuyahoga Falls</t>
  </si>
  <si>
    <t>Henderson</t>
  </si>
  <si>
    <t>Jackson</t>
  </si>
  <si>
    <t>Columbia</t>
  </si>
  <si>
    <t>Columbus</t>
  </si>
  <si>
    <t>Tallahassee</t>
  </si>
  <si>
    <t>Coral Springs</t>
  </si>
  <si>
    <t>Meridian</t>
  </si>
  <si>
    <t>Mission Viejo</t>
  </si>
  <si>
    <t>Akron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</si>
</sst>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quot;₦&quot;* #,##0.00_-;_-&quot;₦&quot;* &quot;-&quot;??_-;_-@_-"/>
    <numFmt numFmtId="43" formatCode="_-* #,##0.00_-;\-* #,##0.00_-;_-* &quot;-&quot;??_-;_-@_-"/>
    <numFmt numFmtId="164" formatCode="\$#,##0;\(\$#,##0\);\$#,##0"/>
    <numFmt numFmtId="165" formatCode="[$$-409]#,##0"/>
    <numFmt numFmtId="166" formatCode="0.0%;\-0.0%;0.0%"/>
    <numFmt numFmtId="167" formatCode="0.0%"/>
    <numFmt numFmtId="168" formatCode="[$$-409]#,##0_ ;\-[$$-409]#,##0\ "/>
    <numFmt numFmtId="169" formatCode="0.0"/>
    <numFmt numFmtId="170" formatCode="_-* #,##0_-;\-* #,##0_-;_-* &quot;-&quot;??_-;_-@_-"/>
    <numFmt numFmtId="171" formatCode="#,##0;[Red]#,##0"/>
    <numFmt numFmtId="172" formatCode="[$$-540A]#,##0"/>
  </numFmts>
  <fonts count="17" x14ac:knownFonts="1">
    <font>
      <sz val="11"/>
      <color theme="1"/>
      <name val="Aptos Narrow"/>
      <family val="2"/>
      <scheme val="minor"/>
    </font>
    <font>
      <sz val="11"/>
      <color theme="1"/>
      <name val="Aptos Narrow"/>
      <family val="2"/>
      <scheme val="minor"/>
    </font>
    <font>
      <b/>
      <sz val="11"/>
      <color rgb="FFFF0000"/>
      <name val="Aptos Narrow"/>
      <family val="2"/>
      <scheme val="minor"/>
    </font>
    <font>
      <b/>
      <sz val="11"/>
      <color rgb="FFC00000"/>
      <name val="Aptos Narrow"/>
      <family val="2"/>
      <scheme val="minor"/>
    </font>
    <font>
      <b/>
      <sz val="12"/>
      <color rgb="FFC00000"/>
      <name val="Aptos Narrow"/>
      <family val="2"/>
      <scheme val="minor"/>
    </font>
    <font>
      <b/>
      <sz val="14"/>
      <color rgb="FFC00000"/>
      <name val="Aptos Narrow"/>
      <family val="2"/>
      <scheme val="minor"/>
    </font>
    <font>
      <b/>
      <sz val="11"/>
      <color theme="1"/>
      <name val="Aptos Narrow"/>
      <family val="2"/>
      <scheme val="minor"/>
    </font>
    <font>
      <sz val="11"/>
      <color rgb="FFC00000"/>
      <name val="Aptos Narrow"/>
      <family val="2"/>
      <scheme val="minor"/>
    </font>
    <font>
      <b/>
      <sz val="16"/>
      <color rgb="FFFF0000"/>
      <name val="Arial Black"/>
      <family val="2"/>
    </font>
    <font>
      <b/>
      <sz val="11"/>
      <color rgb="FFFF0000"/>
      <name val="Times New Roman"/>
      <family val="1"/>
    </font>
    <font>
      <b/>
      <sz val="16"/>
      <color rgb="FFFF0000"/>
      <name val="Aptos Narrow"/>
      <family val="2"/>
      <scheme val="minor"/>
    </font>
    <font>
      <sz val="8"/>
      <name val="Aptos Narrow"/>
      <family val="2"/>
      <scheme val="minor"/>
    </font>
    <font>
      <b/>
      <sz val="14"/>
      <color theme="9" tint="0.39997558519241921"/>
      <name val="Arial Black"/>
      <family val="2"/>
    </font>
    <font>
      <sz val="11"/>
      <color theme="1"/>
      <name val="Times New Roman"/>
      <family val="1"/>
    </font>
    <font>
      <sz val="11"/>
      <color rgb="FFC00000"/>
      <name val="Times New Roman"/>
      <family val="1"/>
    </font>
    <font>
      <sz val="11"/>
      <color rgb="FF8F112F"/>
      <name val="Times New Roman"/>
      <family val="1"/>
    </font>
    <font>
      <b/>
      <sz val="18"/>
      <color rgb="FFFF0000"/>
      <name val="Aptos Narrow"/>
      <family val="2"/>
      <scheme val="minor"/>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rgb="FF00B0F0"/>
        <bgColor indexed="64"/>
      </patternFill>
    </fill>
  </fills>
  <borders count="3">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71">
    <xf numFmtId="0" fontId="0" fillId="0" borderId="0" xfId="0"/>
    <xf numFmtId="165" fontId="0" fillId="0" borderId="0" xfId="0" applyNumberFormat="1" applyProtection="1"/>
    <xf numFmtId="167" fontId="0" fillId="0" borderId="0" xfId="3" applyNumberFormat="1" applyFont="1" applyProtection="1"/>
    <xf numFmtId="0" fontId="0" fillId="0" borderId="0" xfId="0" applyProtection="1"/>
    <xf numFmtId="168" fontId="2" fillId="0" borderId="0" xfId="0" applyNumberFormat="1" applyFont="1" applyFill="1" applyProtection="1"/>
    <xf numFmtId="168" fontId="3" fillId="0" borderId="0" xfId="0" applyNumberFormat="1" applyFont="1" applyFill="1" applyProtection="1"/>
    <xf numFmtId="166" fontId="2" fillId="0" borderId="0" xfId="0" applyNumberFormat="1" applyFont="1" applyFill="1" applyAlignment="1" applyProtection="1">
      <alignment horizontal="center"/>
    </xf>
    <xf numFmtId="165" fontId="3" fillId="0" borderId="0" xfId="0" applyNumberFormat="1" applyFont="1" applyProtection="1"/>
    <xf numFmtId="167" fontId="2" fillId="0" borderId="0" xfId="3" applyNumberFormat="1" applyFont="1" applyAlignment="1" applyProtection="1">
      <alignment horizontal="center"/>
    </xf>
    <xf numFmtId="9" fontId="0" fillId="0" borderId="0" xfId="0" applyNumberFormat="1" applyProtection="1"/>
    <xf numFmtId="165" fontId="2" fillId="0" borderId="0" xfId="0" applyNumberFormat="1" applyFont="1" applyProtection="1"/>
    <xf numFmtId="166" fontId="2" fillId="0" borderId="0" xfId="0" applyNumberFormat="1" applyFont="1" applyFill="1" applyProtection="1"/>
    <xf numFmtId="0" fontId="0" fillId="0" borderId="0" xfId="0" applyFill="1" applyProtection="1"/>
    <xf numFmtId="0" fontId="7" fillId="2" borderId="0" xfId="0" applyFont="1" applyFill="1" applyProtection="1"/>
    <xf numFmtId="0" fontId="0" fillId="0" borderId="0" xfId="0" applyAlignment="1" applyProtection="1">
      <alignment horizontal="left"/>
    </xf>
    <xf numFmtId="165" fontId="3" fillId="0" borderId="0" xfId="0" applyNumberFormat="1" applyFont="1" applyAlignment="1" applyProtection="1">
      <alignment horizontal="left" vertical="top"/>
    </xf>
    <xf numFmtId="9" fontId="0" fillId="0" borderId="0" xfId="3" applyFont="1" applyProtection="1"/>
    <xf numFmtId="165" fontId="3" fillId="0" borderId="0" xfId="0" applyNumberFormat="1" applyFont="1" applyAlignment="1" applyProtection="1">
      <alignment horizontal="center" vertical="center"/>
    </xf>
    <xf numFmtId="170" fontId="2" fillId="0" borderId="0" xfId="2" applyNumberFormat="1" applyFont="1" applyProtection="1"/>
    <xf numFmtId="170" fontId="2" fillId="0" borderId="0" xfId="2" applyNumberFormat="1" applyFont="1" applyAlignment="1" applyProtection="1">
      <alignment horizontal="center" vertical="center"/>
    </xf>
    <xf numFmtId="170" fontId="4" fillId="0" borderId="0" xfId="2" applyNumberFormat="1" applyFont="1" applyAlignment="1" applyProtection="1">
      <alignment horizontal="center"/>
    </xf>
    <xf numFmtId="169" fontId="0" fillId="0" borderId="0" xfId="0" applyNumberFormat="1" applyProtection="1"/>
    <xf numFmtId="9" fontId="5" fillId="0" borderId="0" xfId="3" applyFont="1" applyAlignment="1" applyProtection="1">
      <alignment horizontal="center" vertical="center"/>
    </xf>
    <xf numFmtId="165" fontId="0" fillId="0" borderId="0" xfId="1" applyNumberFormat="1" applyFont="1" applyProtection="1"/>
    <xf numFmtId="0" fontId="0" fillId="4" borderId="0" xfId="0" applyFill="1" applyProtection="1"/>
    <xf numFmtId="0" fontId="0" fillId="6" borderId="0" xfId="0" applyFill="1" applyProtection="1"/>
    <xf numFmtId="0" fontId="6" fillId="0" borderId="1" xfId="0" applyFont="1" applyFill="1" applyBorder="1" applyProtection="1"/>
    <xf numFmtId="0" fontId="6" fillId="0" borderId="0" xfId="0" applyFont="1" applyProtection="1"/>
    <xf numFmtId="49" fontId="0" fillId="0" borderId="0" xfId="0" applyNumberFormat="1" applyProtection="1"/>
    <xf numFmtId="0" fontId="6" fillId="5" borderId="1" xfId="0" applyFont="1" applyFill="1" applyBorder="1" applyProtection="1"/>
    <xf numFmtId="10" fontId="0" fillId="0" borderId="2" xfId="3" applyNumberFormat="1" applyFont="1" applyBorder="1" applyProtection="1"/>
    <xf numFmtId="9" fontId="0" fillId="0" borderId="2" xfId="0" applyNumberFormat="1" applyBorder="1" applyProtection="1"/>
    <xf numFmtId="1" fontId="0" fillId="0" borderId="0" xfId="0" applyNumberFormat="1" applyProtection="1"/>
    <xf numFmtId="172" fontId="0" fillId="0" borderId="0" xfId="0" applyNumberFormat="1" applyProtection="1"/>
    <xf numFmtId="165" fontId="0" fillId="0" borderId="0" xfId="3" applyNumberFormat="1" applyFont="1" applyProtection="1"/>
    <xf numFmtId="0" fontId="6" fillId="0" borderId="0" xfId="0" applyFont="1" applyFill="1" applyBorder="1" applyProtection="1"/>
    <xf numFmtId="0" fontId="6" fillId="6" borderId="0" xfId="0" applyFont="1" applyFill="1" applyProtection="1"/>
    <xf numFmtId="9" fontId="12" fillId="0" borderId="0" xfId="3" applyFont="1" applyProtection="1"/>
    <xf numFmtId="0" fontId="14" fillId="0" borderId="0" xfId="0" applyFont="1" applyProtection="1"/>
    <xf numFmtId="169" fontId="15" fillId="0" borderId="0" xfId="0" applyNumberFormat="1" applyFont="1" applyProtection="1"/>
    <xf numFmtId="9" fontId="15" fillId="0" borderId="0" xfId="3" applyFont="1" applyProtection="1"/>
    <xf numFmtId="0" fontId="15" fillId="0" borderId="0" xfId="0" applyFont="1" applyProtection="1"/>
    <xf numFmtId="9" fontId="8" fillId="0" borderId="0" xfId="3" applyFont="1" applyAlignment="1" applyProtection="1">
      <alignment horizontal="center" vertical="center"/>
    </xf>
    <xf numFmtId="169" fontId="13" fillId="0" borderId="0" xfId="0" applyNumberFormat="1" applyFont="1" applyProtection="1"/>
    <xf numFmtId="9" fontId="13" fillId="0" borderId="0" xfId="3" applyFont="1" applyProtection="1"/>
    <xf numFmtId="170" fontId="0" fillId="0" borderId="0" xfId="2" applyNumberFormat="1" applyFont="1" applyProtection="1"/>
    <xf numFmtId="0" fontId="13" fillId="0" borderId="0" xfId="0" applyFont="1" applyProtection="1"/>
    <xf numFmtId="0" fontId="0" fillId="0" borderId="0" xfId="0" applyAlignment="1" applyProtection="1">
      <alignment vertical="center"/>
    </xf>
    <xf numFmtId="0" fontId="0" fillId="0" borderId="2" xfId="0" applyBorder="1" applyProtection="1"/>
    <xf numFmtId="9" fontId="10" fillId="0" borderId="0" xfId="3" applyNumberFormat="1" applyFont="1" applyProtection="1"/>
    <xf numFmtId="9" fontId="10" fillId="0" borderId="0" xfId="3" applyFont="1" applyProtection="1"/>
    <xf numFmtId="167" fontId="0" fillId="0" borderId="0" xfId="0" applyNumberFormat="1"/>
    <xf numFmtId="0" fontId="0" fillId="0" borderId="0" xfId="0" pivotButton="1"/>
    <xf numFmtId="0" fontId="0" fillId="0" borderId="0" xfId="0" applyAlignment="1">
      <alignment horizontal="left"/>
    </xf>
    <xf numFmtId="164" fontId="0" fillId="0" borderId="0" xfId="0" applyNumberFormat="1"/>
    <xf numFmtId="9" fontId="0" fillId="0" borderId="0" xfId="0" applyNumberFormat="1"/>
    <xf numFmtId="10" fontId="0" fillId="0" borderId="0" xfId="0" applyNumberFormat="1"/>
    <xf numFmtId="166" fontId="0" fillId="0" borderId="0" xfId="0" applyNumberFormat="1"/>
    <xf numFmtId="3" fontId="0" fillId="0" borderId="0" xfId="0" applyNumberFormat="1"/>
    <xf numFmtId="0" fontId="2" fillId="0" borderId="0" xfId="0" applyFont="1" applyAlignment="1" applyProtection="1">
      <alignment horizontal="center"/>
    </xf>
    <xf numFmtId="0" fontId="0" fillId="0" borderId="0" xfId="0" applyAlignment="1" applyProtection="1">
      <alignment horizontal="center"/>
    </xf>
    <xf numFmtId="0" fontId="16" fillId="0" borderId="0" xfId="0" applyFont="1" applyAlignment="1" applyProtection="1">
      <alignment horizontal="center"/>
    </xf>
    <xf numFmtId="0" fontId="10" fillId="0" borderId="0" xfId="0" applyFont="1" applyAlignment="1" applyProtection="1">
      <alignment horizontal="center"/>
    </xf>
    <xf numFmtId="0" fontId="9" fillId="0" borderId="0" xfId="0" applyFont="1" applyAlignment="1" applyProtection="1">
      <alignment horizontal="center"/>
    </xf>
    <xf numFmtId="0" fontId="9" fillId="3" borderId="0" xfId="0" applyFont="1" applyFill="1" applyAlignment="1" applyProtection="1">
      <alignment horizontal="center"/>
    </xf>
    <xf numFmtId="0" fontId="0" fillId="3" borderId="0" xfId="0" applyFill="1" applyAlignment="1" applyProtection="1">
      <alignment horizontal="center"/>
    </xf>
    <xf numFmtId="171" fontId="0" fillId="0" borderId="0" xfId="0" applyNumberFormat="1"/>
    <xf numFmtId="165" fontId="0" fillId="0" borderId="0" xfId="0" applyNumberFormat="1"/>
    <xf numFmtId="0" fontId="0" fillId="0" borderId="0" xfId="0" applyAlignment="1">
      <alignment horizontal="left" indent="1"/>
    </xf>
    <xf numFmtId="1" fontId="0" fillId="0" borderId="0" xfId="0" applyNumberFormat="1"/>
    <xf numFmtId="0" fontId="0" fillId="0" borderId="0" xfId="0" pivotButton="1" applyAlignment="1">
      <alignment horizontal="center"/>
    </xf>
  </cellXfs>
  <cellStyles count="4">
    <cellStyle name="Comma" xfId="2" builtinId="3"/>
    <cellStyle name="Currency" xfId="1" builtinId="4"/>
    <cellStyle name="Normal" xfId="0" builtinId="0"/>
    <cellStyle name="Percent" xfId="3" builtinId="5"/>
  </cellStyles>
  <dxfs count="43">
    <dxf>
      <font>
        <b/>
        <i val="0"/>
        <strike val="0"/>
        <condense val="0"/>
        <extend val="0"/>
        <outline val="0"/>
        <shadow val="0"/>
        <u val="none"/>
        <vertAlign val="baseline"/>
        <sz val="11"/>
        <color theme="1"/>
        <name val="Aptos Narrow"/>
        <family val="2"/>
        <scheme val="minor"/>
      </font>
      <fill>
        <patternFill patternType="none">
          <fgColor indexed="64"/>
          <bgColor auto="1"/>
        </patternFill>
      </fill>
      <border diagonalUp="0" diagonalDown="0" outline="0">
        <left/>
        <right/>
        <top/>
        <bottom style="thin">
          <color theme="4" tint="0.39997558519241921"/>
        </bottom>
      </border>
      <protection locked="1" hidden="0"/>
    </dxf>
    <dxf>
      <border outline="0">
        <bottom style="thin">
          <color theme="4" tint="0.39997558519241921"/>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protection locked="1" hidden="0"/>
    </dxf>
    <dxf>
      <protection locked="1" hidden="0"/>
    </dxf>
    <dxf>
      <numFmt numFmtId="171" formatCode="#,##0;[Red]#,##0"/>
    </dxf>
    <dxf>
      <numFmt numFmtId="173" formatCode="#,##0.0"/>
    </dxf>
    <dxf>
      <numFmt numFmtId="165" formatCode="[$$-409]#,##0"/>
    </dxf>
    <dxf>
      <numFmt numFmtId="173" formatCode="#,##0.0"/>
    </dxf>
    <dxf>
      <numFmt numFmtId="165" formatCode="[$$-409]#,##0"/>
    </dxf>
    <dxf>
      <numFmt numFmtId="173" formatCode="#,##0.0"/>
    </dxf>
    <dxf>
      <numFmt numFmtId="171" formatCode="#,##0;[Red]#,##0"/>
    </dxf>
    <dxf>
      <numFmt numFmtId="173" formatCode="#,##0.0"/>
    </dxf>
    <dxf>
      <alignment horizontal="center"/>
    </dxf>
    <dxf>
      <numFmt numFmtId="13" formatCode="0%"/>
    </dxf>
    <dxf>
      <numFmt numFmtId="165" formatCode="[$$-409]#,##0"/>
    </dxf>
    <dxf>
      <numFmt numFmtId="1" formatCode="0"/>
    </dxf>
    <dxf>
      <numFmt numFmtId="1" formatCode="0"/>
    </dxf>
    <dxf>
      <numFmt numFmtId="165" formatCode="[$$-409]#,##0"/>
    </dxf>
    <dxf>
      <numFmt numFmtId="173" formatCode="#,##0.0"/>
    </dxf>
    <dxf>
      <numFmt numFmtId="3" formatCode="#,##0"/>
    </dxf>
    <dxf>
      <numFmt numFmtId="173" formatCode="#,##0.0"/>
    </dxf>
    <dxf>
      <numFmt numFmtId="165" formatCode="[$$-409]#,##0"/>
    </dxf>
    <dxf>
      <numFmt numFmtId="3" formatCode="#,##0"/>
    </dxf>
    <dxf>
      <numFmt numFmtId="173" formatCode="#,##0.0"/>
    </dxf>
    <dxf>
      <numFmt numFmtId="165" formatCode="[$$-409]#,##0"/>
    </dxf>
    <dxf>
      <numFmt numFmtId="165" formatCode="[$$-409]#,##0"/>
    </dxf>
    <dxf>
      <numFmt numFmtId="165" formatCode="[$$-409]#,##0"/>
    </dxf>
    <dxf>
      <numFmt numFmtId="173" formatCode="#,##0.0"/>
    </dxf>
    <dxf>
      <numFmt numFmtId="165" formatCode="[$$-409]#,##0"/>
    </dxf>
    <dxf>
      <numFmt numFmtId="173" formatCode="#,##0.0"/>
    </dxf>
    <dxf>
      <numFmt numFmtId="171" formatCode="#,##0;[Red]#,##0"/>
    </dxf>
    <dxf>
      <numFmt numFmtId="173" formatCode="#,##0.0"/>
    </dxf>
    <dxf>
      <numFmt numFmtId="165" formatCode="[$$-409]#,##0"/>
    </dxf>
    <dxf>
      <numFmt numFmtId="173" formatCode="#,##0.0"/>
    </dxf>
    <dxf>
      <fill>
        <patternFill>
          <bgColor rgb="FFFEF6F0"/>
        </patternFill>
      </fill>
    </dxf>
    <dxf>
      <fill>
        <patternFill>
          <bgColor theme="9" tint="0.59996337778862885"/>
        </patternFill>
      </fill>
    </dxf>
    <dxf>
      <fill>
        <patternFill>
          <bgColor theme="9" tint="-0.499984740745262"/>
        </patternFill>
      </fill>
    </dxf>
    <dxf>
      <fill>
        <patternFill>
          <bgColor rgb="FFFF0000"/>
        </patternFill>
      </fill>
    </dxf>
    <dxf>
      <numFmt numFmtId="13" formatCode="0%"/>
    </dxf>
    <dxf>
      <numFmt numFmtId="167" formatCode="0.0%"/>
    </dxf>
    <dxf>
      <numFmt numFmtId="167" formatCode="0.0%"/>
    </dxf>
    <dxf>
      <fill>
        <patternFill patternType="none">
          <bgColor auto="1"/>
        </patternFill>
      </fill>
      <border diagonalUp="0" diagonalDown="0">
        <left/>
        <right/>
        <top/>
        <bottom/>
        <vertical/>
        <horizontal/>
      </border>
    </dxf>
    <dxf>
      <font>
        <b/>
        <i val="0"/>
        <sz val="8"/>
        <color theme="0"/>
        <name val="Times New Roman"/>
        <family val="1"/>
        <scheme val="none"/>
      </font>
      <fill>
        <patternFill>
          <fgColor theme="5" tint="-0.499984740745262"/>
          <bgColor theme="3" tint="0.79998168889431442"/>
        </patternFill>
      </fill>
      <border diagonalUp="0" diagonalDown="0">
        <left/>
        <right/>
        <top/>
        <bottom/>
        <vertical/>
        <horizontal/>
      </border>
    </dxf>
  </dxfs>
  <tableStyles count="2" defaultTableStyle="TableStyleMedium2" defaultPivotStyle="PivotStyleLight16">
    <tableStyle name="Invisible" pivot="0" table="0" count="0" xr9:uid="{A00D5A5C-F15F-4C3B-8658-B08456B9ED5E}"/>
    <tableStyle name="Slicer Style 4" pivot="0" table="0" count="10" xr9:uid="{0237C9DF-E0F0-4568-AC8B-BAA17476D7EA}">
      <tableStyleElement type="wholeTable" dxfId="42"/>
      <tableStyleElement type="headerRow" dxfId="41"/>
    </tableStyle>
  </tableStyles>
  <colors>
    <mruColors>
      <color rgb="FFFEF6F0"/>
      <color rgb="FF8F112F"/>
      <color rgb="FFFFFFFF"/>
      <color rgb="FFFF0000"/>
      <color rgb="FFC43908"/>
    </mruColors>
  </colors>
  <extLst>
    <ext xmlns:x14="http://schemas.microsoft.com/office/spreadsheetml/2009/9/main" uri="{46F421CA-312F-682f-3DD2-61675219B42D}">
      <x14:dxfs count="8">
        <dxf>
          <fill>
            <patternFill>
              <bgColor theme="5" tint="-0.499984740745262"/>
            </patternFill>
          </fill>
        </dxf>
        <dxf>
          <fill>
            <patternFill>
              <bgColor theme="5" tint="0.59996337778862885"/>
            </patternFill>
          </fill>
        </dxf>
        <dxf>
          <fill>
            <patternFill>
              <bgColor theme="5" tint="-0.499984740745262"/>
            </patternFill>
          </fill>
        </dxf>
        <dxf>
          <fill>
            <patternFill>
              <bgColor theme="5" tint="-0.499984740745262"/>
            </patternFill>
          </fill>
        </dxf>
        <dxf>
          <fill>
            <patternFill>
              <bgColor theme="5" tint="0.79998168889431442"/>
            </patternFill>
          </fill>
        </dxf>
        <dxf>
          <fill>
            <patternFill>
              <bgColor rgb="FFC00000"/>
            </patternFill>
          </fill>
          <border diagonalUp="0" diagonalDown="0">
            <left/>
            <right/>
            <top/>
            <bottom/>
            <vertical/>
            <horizontal/>
          </border>
        </dxf>
        <dxf>
          <fill>
            <patternFill>
              <bgColor theme="5" tint="0.59996337778862885"/>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G37" s="5"/>
        <tr r="G37" s="5"/>
        <tr r="G37" s="5"/>
        <tr r="G59" s="5"/>
        <tr r="G59" s="5"/>
        <tr r="G59" s="5"/>
        <tr r="G49" s="5"/>
        <tr r="G49" s="5"/>
        <tr r="G49" s="5"/>
        <tr r="G41" s="5"/>
        <tr r="G41" s="5"/>
        <tr r="G41" s="5"/>
        <tr r="G57" s="5"/>
        <tr r="G57" s="5"/>
        <tr r="G57" s="5"/>
        <tr r="G31" s="5"/>
        <tr r="G31" s="5"/>
        <tr r="G31" s="5"/>
        <tr r="G29" s="5"/>
        <tr r="G29" s="5"/>
        <tr r="G29" s="5"/>
        <tr r="G60" s="5"/>
        <tr r="G60" s="5"/>
        <tr r="G60" s="5"/>
        <tr r="G50" s="5"/>
        <tr r="G50" s="5"/>
        <tr r="G50" s="5"/>
        <tr r="G30" s="5"/>
        <tr r="G30" s="5"/>
        <tr r="G30" s="5"/>
        <tr r="G20" s="5"/>
        <tr r="G20" s="5"/>
        <tr r="G20" s="5"/>
        <tr r="G26" s="5"/>
        <tr r="G26" s="5"/>
        <tr r="G26" s="5"/>
        <tr r="G35" s="5"/>
        <tr r="G35" s="5"/>
        <tr r="G35" s="5"/>
        <tr r="G34" s="5"/>
        <tr r="G34" s="5"/>
        <tr r="G34" s="5"/>
        <tr r="G25" s="5"/>
        <tr r="G25" s="5"/>
        <tr r="G25" s="5"/>
        <tr r="G43" s="5"/>
        <tr r="G43" s="5"/>
        <tr r="G43" s="5"/>
        <tr r="G67" s="5"/>
        <tr r="G67" s="5"/>
        <tr r="G67" s="5"/>
        <tr r="G40" s="5"/>
        <tr r="G40" s="5"/>
        <tr r="G40" s="5"/>
        <tr r="G48" s="5"/>
        <tr r="G48" s="5"/>
        <tr r="G48" s="5"/>
        <tr r="G14" s="5"/>
        <tr r="G14" s="5"/>
        <tr r="G17" s="5"/>
        <tr r="G17" s="5"/>
        <tr r="G51" s="5"/>
        <tr r="G51" s="5"/>
        <tr r="G51" s="5"/>
        <tr r="G42" s="5"/>
        <tr r="G42" s="5"/>
        <tr r="G42" s="5"/>
        <tr r="G23" s="5"/>
        <tr r="G23" s="5"/>
        <tr r="G23" s="5"/>
        <tr r="G65" s="5"/>
        <tr r="G65" s="5"/>
        <tr r="G65" s="5"/>
        <tr r="G24" s="5"/>
        <tr r="G24" s="5"/>
        <tr r="G24" s="5"/>
        <tr r="G32" s="5"/>
        <tr r="G32" s="5"/>
        <tr r="G32" s="5"/>
        <tr r="G54" s="5"/>
        <tr r="G54" s="5"/>
        <tr r="G54" s="5"/>
        <tr r="G28" s="5"/>
        <tr r="G28" s="5"/>
        <tr r="G28" s="5"/>
        <tr r="G27" s="5"/>
        <tr r="G27" s="5"/>
        <tr r="G27" s="5"/>
        <tr r="G55" s="5"/>
        <tr r="G55" s="5"/>
        <tr r="G55" s="5"/>
        <tr r="G33" s="5"/>
        <tr r="G33" s="5"/>
        <tr r="G33" s="5"/>
        <tr r="G44" s="5"/>
        <tr r="G44" s="5"/>
        <tr r="G44" s="5"/>
        <tr r="G62" s="5"/>
        <tr r="G62" s="5"/>
        <tr r="G62" s="5"/>
        <tr r="G64" s="5"/>
        <tr r="G64" s="5"/>
        <tr r="G64" s="5"/>
        <tr r="G39" s="5"/>
        <tr r="G39" s="5"/>
        <tr r="G39" s="5"/>
        <tr r="G38" s="5"/>
        <tr r="G38" s="5"/>
        <tr r="G38" s="5"/>
        <tr r="G22" s="5"/>
        <tr r="G22" s="5"/>
        <tr r="G22" s="5"/>
        <tr r="G66" s="5"/>
        <tr r="G66" s="5"/>
        <tr r="G66" s="5"/>
        <tr r="G46" s="5"/>
        <tr r="G46" s="5"/>
        <tr r="G46" s="5"/>
        <tr r="G61" s="5"/>
        <tr r="G61" s="5"/>
        <tr r="G61" s="5"/>
        <tr r="G45" s="5"/>
        <tr r="G45" s="5"/>
        <tr r="G45" s="5"/>
        <tr r="G58" s="5"/>
        <tr r="G58" s="5"/>
        <tr r="G58" s="5"/>
        <tr r="G63" s="5"/>
        <tr r="G63" s="5"/>
        <tr r="G63" s="5"/>
        <tr r="G53" s="5"/>
        <tr r="G53" s="5"/>
        <tr r="G53" s="5"/>
        <tr r="G52" s="5"/>
        <tr r="G52" s="5"/>
        <tr r="G52" s="5"/>
        <tr r="G47" s="5"/>
        <tr r="G47" s="5"/>
        <tr r="G47" s="5"/>
        <tr r="G21" s="5"/>
        <tr r="G21" s="5"/>
        <tr r="G21" s="5"/>
        <tr r="G36" s="5"/>
        <tr r="G36" s="5"/>
        <tr r="G36" s="5"/>
        <tr r="G56" s="5"/>
        <tr r="G56" s="5"/>
        <tr r="G56" s="5"/>
        <tr r="G16" s="5"/>
        <tr r="G16" s="5"/>
        <tr r="G15" s="5"/>
        <tr r="G15" s="5"/>
        <tr r="G19" s="5"/>
        <tr r="F48" s="5"/>
        <tr r="F31" s="5"/>
        <tr r="F27" s="5"/>
        <tr r="F65" s="5"/>
        <tr r="F56" s="5"/>
        <tr r="F53" s="5"/>
        <tr r="F26" s="5"/>
        <tr r="F64" s="5"/>
        <tr r="F62" s="5"/>
        <tr r="F47" s="5"/>
        <tr r="F54" s="5"/>
        <tr r="F14" s="5"/>
        <tr r="F29" s="5"/>
        <tr r="F15" s="5"/>
        <tr r="G13" s="5"/>
        <tr r="F17" s="5"/>
        <tr r="F63" s="5"/>
        <tr r="F67" s="5"/>
        <tr r="F24" s="5"/>
        <tr r="F34" s="5"/>
        <tr r="F46" s="5"/>
        <tr r="F42" s="5"/>
        <tr r="F25" s="5"/>
        <tr r="F59" s="5"/>
        <tr r="F35" s="5"/>
        <tr r="F32" s="5"/>
        <tr r="F49" s="5"/>
        <tr r="F57" s="5"/>
        <tr r="F45" s="5"/>
        <tr r="F23" s="5"/>
        <tr r="F58" s="5"/>
        <tr r="F16" s="5"/>
        <tr r="F51" s="5"/>
        <tr r="F66" s="5"/>
        <tr r="F55" s="5"/>
        <tr r="F21" s="5"/>
        <tr r="F22" s="5"/>
        <tr r="F40" s="5"/>
        <tr r="F37" s="5"/>
        <tr r="F60" s="5"/>
        <tr r="F44" s="5"/>
        <tr r="F61" s="5"/>
        <tr r="F39" s="5"/>
        <tr r="F50" s="5"/>
        <tr r="F30" s="5"/>
        <tr r="F41" s="5"/>
        <tr r="F52" s="5"/>
        <tr r="F36" s="5"/>
        <tr r="F33" s="5"/>
        <tr r="F38" s="5"/>
        <tr r="F43" s="5"/>
        <tr r="F28" s="5"/>
        <tr r="F20" s="5"/>
      </tp>
    </main>
  </volType>
</volTypes>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42" Type="http://schemas.openxmlformats.org/officeDocument/2006/relationships/connections" Target="connections.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84" Type="http://schemas.openxmlformats.org/officeDocument/2006/relationships/customXml" Target="../customXml/item37.xml"/><Relationship Id="rId89" Type="http://schemas.openxmlformats.org/officeDocument/2006/relationships/customXml" Target="../customXml/item42.xml"/><Relationship Id="rId16" Type="http://schemas.openxmlformats.org/officeDocument/2006/relationships/pivotCacheDefinition" Target="pivotCache/pivotCacheDefinition12.xml"/><Relationship Id="rId11" Type="http://schemas.openxmlformats.org/officeDocument/2006/relationships/pivotCacheDefinition" Target="pivotCache/pivotCacheDefinition7.xml"/><Relationship Id="rId32" Type="http://schemas.microsoft.com/office/2007/relationships/slicerCache" Target="slicerCaches/slicerCache1.xml"/><Relationship Id="rId37" Type="http://schemas.openxmlformats.org/officeDocument/2006/relationships/pivotCacheDefinition" Target="pivotCache/pivotCacheDefinition28.xml"/><Relationship Id="rId53" Type="http://schemas.openxmlformats.org/officeDocument/2006/relationships/customXml" Target="../customXml/item6.xml"/><Relationship Id="rId58" Type="http://schemas.openxmlformats.org/officeDocument/2006/relationships/customXml" Target="../customXml/item11.xml"/><Relationship Id="rId74" Type="http://schemas.openxmlformats.org/officeDocument/2006/relationships/customXml" Target="../customXml/item27.xml"/><Relationship Id="rId79" Type="http://schemas.openxmlformats.org/officeDocument/2006/relationships/customXml" Target="../customXml/item32.xml"/><Relationship Id="rId5" Type="http://schemas.openxmlformats.org/officeDocument/2006/relationships/pivotCacheDefinition" Target="pivotCache/pivotCacheDefinition1.xml"/><Relationship Id="rId90" Type="http://schemas.openxmlformats.org/officeDocument/2006/relationships/customXml" Target="../customXml/item43.xml"/><Relationship Id="rId95" Type="http://schemas.microsoft.com/office/2006/relationships/vbaProject" Target="vbaProject.bin"/><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43" Type="http://schemas.openxmlformats.org/officeDocument/2006/relationships/styles" Target="styles.xml"/><Relationship Id="rId48" Type="http://schemas.openxmlformats.org/officeDocument/2006/relationships/customXml" Target="../customXml/item1.xml"/><Relationship Id="rId64" Type="http://schemas.openxmlformats.org/officeDocument/2006/relationships/customXml" Target="../customXml/item17.xml"/><Relationship Id="rId69" Type="http://schemas.openxmlformats.org/officeDocument/2006/relationships/customXml" Target="../customXml/item22.xml"/><Relationship Id="rId8" Type="http://schemas.openxmlformats.org/officeDocument/2006/relationships/pivotCacheDefinition" Target="pivotCache/pivotCacheDefinition4.xml"/><Relationship Id="rId51" Type="http://schemas.openxmlformats.org/officeDocument/2006/relationships/customXml" Target="../customXml/item4.xml"/><Relationship Id="rId72" Type="http://schemas.openxmlformats.org/officeDocument/2006/relationships/customXml" Target="../customXml/item25.xml"/><Relationship Id="rId80" Type="http://schemas.openxmlformats.org/officeDocument/2006/relationships/customXml" Target="../customXml/item33.xml"/><Relationship Id="rId85" Type="http://schemas.openxmlformats.org/officeDocument/2006/relationships/customXml" Target="../customXml/item38.xml"/><Relationship Id="rId93" Type="http://schemas.openxmlformats.org/officeDocument/2006/relationships/customXml" Target="../customXml/item46.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microsoft.com/office/2007/relationships/slicerCache" Target="slicerCaches/slicerCache2.xml"/><Relationship Id="rId38" Type="http://schemas.openxmlformats.org/officeDocument/2006/relationships/pivotCacheDefinition" Target="pivotCache/pivotCacheDefinition29.xml"/><Relationship Id="rId46" Type="http://schemas.openxmlformats.org/officeDocument/2006/relationships/powerPivotData" Target="model/item.data"/><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pivotCacheDefinition" Target="pivotCache/pivotCacheDefinition16.xml"/><Relationship Id="rId41" Type="http://schemas.openxmlformats.org/officeDocument/2006/relationships/theme" Target="theme/theme1.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83" Type="http://schemas.openxmlformats.org/officeDocument/2006/relationships/customXml" Target="../customXml/item36.xml"/><Relationship Id="rId88" Type="http://schemas.openxmlformats.org/officeDocument/2006/relationships/customXml" Target="../customXml/item41.xml"/><Relationship Id="rId91" Type="http://schemas.openxmlformats.org/officeDocument/2006/relationships/customXml" Target="../customXml/item44.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microsoft.com/office/2007/relationships/slicerCache" Target="slicerCaches/slicerCache5.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pivotCacheDefinition" Target="pivotCache/pivotCacheDefinition6.xml"/><Relationship Id="rId31" Type="http://schemas.openxmlformats.org/officeDocument/2006/relationships/pivotCacheDefinition" Target="pivotCache/pivotCacheDefinition27.xml"/><Relationship Id="rId44" Type="http://schemas.openxmlformats.org/officeDocument/2006/relationships/sharedStrings" Target="sharedString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78" Type="http://schemas.openxmlformats.org/officeDocument/2006/relationships/customXml" Target="../customXml/item31.xml"/><Relationship Id="rId81" Type="http://schemas.openxmlformats.org/officeDocument/2006/relationships/customXml" Target="../customXml/item34.xml"/><Relationship Id="rId86" Type="http://schemas.openxmlformats.org/officeDocument/2006/relationships/customXml" Target="../customXml/item39.xml"/><Relationship Id="rId94"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39" Type="http://schemas.openxmlformats.org/officeDocument/2006/relationships/pivotTable" Target="pivotTables/pivotTable1.xml"/><Relationship Id="rId34" Type="http://schemas.microsoft.com/office/2007/relationships/slicerCache" Target="slicerCaches/slicerCache3.xml"/><Relationship Id="rId50" Type="http://schemas.openxmlformats.org/officeDocument/2006/relationships/customXml" Target="../customXml/item3.xml"/><Relationship Id="rId55" Type="http://schemas.openxmlformats.org/officeDocument/2006/relationships/customXml" Target="../customXml/item8.xml"/><Relationship Id="rId76" Type="http://schemas.openxmlformats.org/officeDocument/2006/relationships/customXml" Target="../customXml/item29.xml"/><Relationship Id="rId7" Type="http://schemas.openxmlformats.org/officeDocument/2006/relationships/pivotCacheDefinition" Target="pivotCache/pivotCacheDefinition3.xml"/><Relationship Id="rId71" Type="http://schemas.openxmlformats.org/officeDocument/2006/relationships/customXml" Target="../customXml/item24.xml"/><Relationship Id="rId92" Type="http://schemas.openxmlformats.org/officeDocument/2006/relationships/customXml" Target="../customXml/item45.xml"/><Relationship Id="rId2" Type="http://schemas.openxmlformats.org/officeDocument/2006/relationships/worksheet" Target="worksheets/sheet2.xml"/><Relationship Id="rId29" Type="http://schemas.openxmlformats.org/officeDocument/2006/relationships/pivotCacheDefinition" Target="pivotCache/pivotCacheDefinition25.xml"/><Relationship Id="rId24" Type="http://schemas.openxmlformats.org/officeDocument/2006/relationships/pivotCacheDefinition" Target="pivotCache/pivotCacheDefinition20.xml"/><Relationship Id="rId40" Type="http://schemas.openxmlformats.org/officeDocument/2006/relationships/pivotTable" Target="pivotTables/pivotTable2.xml"/><Relationship Id="rId45" Type="http://schemas.openxmlformats.org/officeDocument/2006/relationships/sheetMetadata" Target="metadata.xml"/><Relationship Id="rId66" Type="http://schemas.openxmlformats.org/officeDocument/2006/relationships/customXml" Target="../customXml/item19.xml"/><Relationship Id="rId87" Type="http://schemas.openxmlformats.org/officeDocument/2006/relationships/customXml" Target="../customXml/item40.xml"/><Relationship Id="rId61" Type="http://schemas.openxmlformats.org/officeDocument/2006/relationships/customXml" Target="../customXml/item14.xml"/><Relationship Id="rId82" Type="http://schemas.openxmlformats.org/officeDocument/2006/relationships/customXml" Target="../customXml/item35.xml"/><Relationship Id="rId19" Type="http://schemas.openxmlformats.org/officeDocument/2006/relationships/pivotCacheDefinition" Target="pivotCache/pivotCacheDefinition15.xml"/><Relationship Id="rId14" Type="http://schemas.openxmlformats.org/officeDocument/2006/relationships/pivotCacheDefinition" Target="pivotCache/pivotCacheDefinition10.xml"/><Relationship Id="rId30" Type="http://schemas.openxmlformats.org/officeDocument/2006/relationships/pivotCacheDefinition" Target="pivotCache/pivotCacheDefinition26.xml"/><Relationship Id="rId35" Type="http://schemas.microsoft.com/office/2007/relationships/slicerCache" Target="slicerCaches/slicerCache4.xml"/><Relationship Id="rId56" Type="http://schemas.openxmlformats.org/officeDocument/2006/relationships/customXml" Target="../customXml/item9.xml"/><Relationship Id="rId77" Type="http://schemas.openxmlformats.org/officeDocument/2006/relationships/customXml" Target="../customXml/item30.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[Bayan_Sales_Dashboard.xlsm]Pivot_Tables!Shipping Mode</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2">
              <a:lumMod val="40000"/>
              <a:lumOff val="6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60000"/>
              <a:lumOff val="40000"/>
            </a:schemeClr>
          </a:solidFill>
          <a:ln w="19050">
            <a:noFill/>
          </a:ln>
          <a:effectLst/>
        </c:spPr>
        <c:dLbl>
          <c:idx val="0"/>
          <c:layout>
            <c:manualLayout>
              <c:x val="8.0555555555555561E-2"/>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20000"/>
              <a:lumOff val="80000"/>
            </a:schemeClr>
          </a:solidFill>
          <a:ln w="19050">
            <a:noFill/>
          </a:ln>
          <a:effectLst/>
        </c:spPr>
        <c:dLbl>
          <c:idx val="0"/>
          <c:layout>
            <c:manualLayout>
              <c:x val="8.8888888888888892E-2"/>
              <c:y val="-4.16666666666667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lumMod val="75000"/>
            </a:schemeClr>
          </a:solidFill>
          <a:ln w="19050">
            <a:noFill/>
          </a:ln>
          <a:effectLst/>
        </c:spPr>
        <c:dLbl>
          <c:idx val="0"/>
          <c:layout>
            <c:manualLayout>
              <c:x val="8.3333333333333329E-2"/>
              <c:y val="9.7222222222222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lumMod val="50000"/>
            </a:schemeClr>
          </a:solidFill>
          <a:ln w="19050">
            <a:noFill/>
          </a:ln>
          <a:effectLst/>
        </c:spPr>
        <c:dLbl>
          <c:idx val="0"/>
          <c:layout>
            <c:manualLayout>
              <c:x val="-8.8888888888888906E-2"/>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w="19050">
            <a:noFill/>
          </a:ln>
          <a:effectLst/>
        </c:spPr>
        <c:dLbl>
          <c:idx val="0"/>
          <c:layout>
            <c:manualLayout>
              <c:x val="9.1703056768558874E-2"/>
              <c:y val="-0.1090909090909090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lumMod val="20000"/>
              <a:lumOff val="80000"/>
            </a:schemeClr>
          </a:solidFill>
          <a:ln w="19050">
            <a:noFill/>
          </a:ln>
          <a:effectLst/>
        </c:spPr>
        <c:dLbl>
          <c:idx val="0"/>
          <c:layout>
            <c:manualLayout>
              <c:x val="7.4235807860262015E-2"/>
              <c:y val="-2.72727272727273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894749510023037"/>
          <c:y val="0.16391982820329279"/>
          <c:w val="0.37540968950933534"/>
          <c:h val="0.78153471725125268"/>
        </c:manualLayout>
      </c:layout>
      <c:doughnutChart>
        <c:varyColors val="1"/>
        <c:ser>
          <c:idx val="0"/>
          <c:order val="0"/>
          <c:tx>
            <c:strRef>
              <c:f>Pivot_Tables!$D$2</c:f>
              <c:strCache>
                <c:ptCount val="1"/>
                <c:pt idx="0">
                  <c:v>Total</c:v>
                </c:pt>
              </c:strCache>
            </c:strRef>
          </c:tx>
          <c:spPr>
            <a:solidFill>
              <a:schemeClr val="accent2">
                <a:lumMod val="40000"/>
                <a:lumOff val="60000"/>
              </a:schemeClr>
            </a:solidFill>
            <a:ln>
              <a:noFill/>
            </a:ln>
          </c:spPr>
          <c:dPt>
            <c:idx val="0"/>
            <c:bubble3D val="0"/>
            <c:spPr>
              <a:solidFill>
                <a:schemeClr val="accent2">
                  <a:lumMod val="40000"/>
                  <a:lumOff val="60000"/>
                </a:schemeClr>
              </a:solidFill>
              <a:ln w="19050">
                <a:noFill/>
              </a:ln>
              <a:effectLst/>
            </c:spPr>
            <c:extLst>
              <c:ext xmlns:c16="http://schemas.microsoft.com/office/drawing/2014/chart" uri="{C3380CC4-5D6E-409C-BE32-E72D297353CC}">
                <c16:uniqueId val="{00000001-815E-4EB4-8C44-EBB646A84351}"/>
              </c:ext>
            </c:extLst>
          </c:dPt>
          <c:dPt>
            <c:idx val="1"/>
            <c:bubble3D val="0"/>
            <c:spPr>
              <a:solidFill>
                <a:schemeClr val="accent2">
                  <a:lumMod val="20000"/>
                  <a:lumOff val="80000"/>
                </a:schemeClr>
              </a:solidFill>
              <a:ln w="19050">
                <a:noFill/>
              </a:ln>
              <a:effectLst/>
            </c:spPr>
            <c:extLst>
              <c:ext xmlns:c16="http://schemas.microsoft.com/office/drawing/2014/chart" uri="{C3380CC4-5D6E-409C-BE32-E72D297353CC}">
                <c16:uniqueId val="{00000003-815E-4EB4-8C44-EBB646A84351}"/>
              </c:ext>
            </c:extLst>
          </c:dPt>
          <c:dPt>
            <c:idx val="2"/>
            <c:bubble3D val="0"/>
            <c:spPr>
              <a:solidFill>
                <a:schemeClr val="accent2">
                  <a:lumMod val="75000"/>
                </a:schemeClr>
              </a:solidFill>
              <a:ln w="19050">
                <a:noFill/>
              </a:ln>
              <a:effectLst/>
            </c:spPr>
            <c:extLst>
              <c:ext xmlns:c16="http://schemas.microsoft.com/office/drawing/2014/chart" uri="{C3380CC4-5D6E-409C-BE32-E72D297353CC}">
                <c16:uniqueId val="{00000005-815E-4EB4-8C44-EBB646A84351}"/>
              </c:ext>
            </c:extLst>
          </c:dPt>
          <c:dPt>
            <c:idx val="3"/>
            <c:bubble3D val="0"/>
            <c:spPr>
              <a:solidFill>
                <a:schemeClr val="accent2">
                  <a:lumMod val="50000"/>
                </a:schemeClr>
              </a:solidFill>
              <a:ln w="19050">
                <a:noFill/>
              </a:ln>
              <a:effectLst/>
            </c:spPr>
            <c:extLst>
              <c:ext xmlns:c16="http://schemas.microsoft.com/office/drawing/2014/chart" uri="{C3380CC4-5D6E-409C-BE32-E72D297353CC}">
                <c16:uniqueId val="{00000007-815E-4EB4-8C44-EBB646A84351}"/>
              </c:ext>
            </c:extLst>
          </c:dPt>
          <c:dLbls>
            <c:dLbl>
              <c:idx val="0"/>
              <c:layout>
                <c:manualLayout>
                  <c:x val="9.1703056768558874E-2"/>
                  <c:y val="-0.1090909090909090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15E-4EB4-8C44-EBB646A84351}"/>
                </c:ext>
              </c:extLst>
            </c:dLbl>
            <c:dLbl>
              <c:idx val="1"/>
              <c:layout>
                <c:manualLayout>
                  <c:x val="7.4235807860262015E-2"/>
                  <c:y val="-2.72727272727273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15E-4EB4-8C44-EBB646A84351}"/>
                </c:ext>
              </c:extLst>
            </c:dLbl>
            <c:dLbl>
              <c:idx val="2"/>
              <c:layout>
                <c:manualLayout>
                  <c:x val="8.3333333333333329E-2"/>
                  <c:y val="9.7222222222222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15E-4EB4-8C44-EBB646A84351}"/>
                </c:ext>
              </c:extLst>
            </c:dLbl>
            <c:dLbl>
              <c:idx val="3"/>
              <c:layout>
                <c:manualLayout>
                  <c:x val="-8.8888888888888906E-2"/>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15E-4EB4-8C44-EBB646A843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NG"/>
              </a:p>
            </c:txPr>
            <c:showLegendKey val="0"/>
            <c:showVal val="1"/>
            <c:showCatName val="0"/>
            <c:showSerName val="0"/>
            <c:showPercent val="0"/>
            <c:showBubbleSize val="0"/>
            <c:showLeaderLines val="1"/>
            <c:leaderLines>
              <c:spPr>
                <a:ln w="12700" cap="flat" cmpd="sng" algn="ctr">
                  <a:solidFill>
                    <a:schemeClr val="accent2"/>
                  </a:solidFill>
                  <a:prstDash val="solid"/>
                  <a:miter lim="800000"/>
                </a:ln>
                <a:effectLst/>
              </c:spPr>
            </c:leaderLines>
            <c:extLst>
              <c:ext xmlns:c15="http://schemas.microsoft.com/office/drawing/2012/chart" uri="{CE6537A1-D6FC-4f65-9D91-7224C49458BB}"/>
            </c:extLst>
          </c:dLbls>
          <c:cat>
            <c:strRef>
              <c:f>Pivot_Tables!$C$3:$C$6</c:f>
              <c:strCache>
                <c:ptCount val="4"/>
                <c:pt idx="0">
                  <c:v>First Class</c:v>
                </c:pt>
                <c:pt idx="1">
                  <c:v>Same Day</c:v>
                </c:pt>
                <c:pt idx="2">
                  <c:v>Second Class</c:v>
                </c:pt>
                <c:pt idx="3">
                  <c:v>Standard Class</c:v>
                </c:pt>
              </c:strCache>
            </c:strRef>
          </c:cat>
          <c:val>
            <c:numRef>
              <c:f>Pivot_Tables!$D$3:$D$6</c:f>
              <c:numCache>
                <c:formatCode>0%</c:formatCode>
                <c:ptCount val="4"/>
                <c:pt idx="0">
                  <c:v>0.15417256011315417</c:v>
                </c:pt>
                <c:pt idx="1">
                  <c:v>5.6105610561056105E-2</c:v>
                </c:pt>
                <c:pt idx="2">
                  <c:v>0.20132013201320131</c:v>
                </c:pt>
                <c:pt idx="3">
                  <c:v>0.5884016973125884</c:v>
                </c:pt>
              </c:numCache>
            </c:numRef>
          </c:val>
          <c:extLst>
            <c:ext xmlns:c16="http://schemas.microsoft.com/office/drawing/2014/chart" uri="{C3380CC4-5D6E-409C-BE32-E72D297353CC}">
              <c16:uniqueId val="{00000016-1E52-4A4D-AEA8-2428BF8FC56F}"/>
            </c:ext>
          </c:extLst>
        </c:ser>
        <c:dLbls>
          <c:showLegendKey val="0"/>
          <c:showVal val="1"/>
          <c:showCatName val="0"/>
          <c:showSerName val="0"/>
          <c:showPercent val="0"/>
          <c:showBubbleSize val="0"/>
          <c:showLeaderLines val="1"/>
        </c:dLbls>
        <c:firstSliceAng val="14"/>
        <c:holeSize val="69"/>
      </c:doughnutChart>
      <c:spPr>
        <a:noFill/>
        <a:ln>
          <a:noFill/>
        </a:ln>
        <a:effectLst/>
      </c:spPr>
    </c:plotArea>
    <c:legend>
      <c:legendPos val="r"/>
      <c:legendEntry>
        <c:idx val="0"/>
        <c:txPr>
          <a:bodyPr rot="0" spcFirstLastPara="1" vertOverflow="ellipsis" vert="horz" wrap="square" anchor="ctr" anchorCtr="1"/>
          <a:lstStyle/>
          <a:p>
            <a:pPr>
              <a:defRPr sz="800" b="0" i="0" u="none" strike="noStrike" kern="1200" baseline="0">
                <a:solidFill>
                  <a:srgbClr val="C00000"/>
                </a:solidFill>
                <a:latin typeface="+mn-lt"/>
                <a:ea typeface="+mn-ea"/>
                <a:cs typeface="+mn-cs"/>
              </a:defRPr>
            </a:pPr>
            <a:endParaRPr lang="en-NG"/>
          </a:p>
        </c:txPr>
      </c:legendEntry>
      <c:legendEntry>
        <c:idx val="1"/>
        <c:txPr>
          <a:bodyPr rot="0" spcFirstLastPara="1" vertOverflow="ellipsis" vert="horz" wrap="square" anchor="ctr" anchorCtr="1"/>
          <a:lstStyle/>
          <a:p>
            <a:pPr>
              <a:defRPr sz="800" b="0" i="0" u="none" strike="noStrike" kern="1200" baseline="0">
                <a:solidFill>
                  <a:srgbClr val="C00000"/>
                </a:solidFill>
                <a:latin typeface="+mn-lt"/>
                <a:ea typeface="+mn-ea"/>
                <a:cs typeface="+mn-cs"/>
              </a:defRPr>
            </a:pPr>
            <a:endParaRPr lang="en-NG"/>
          </a:p>
        </c:txPr>
      </c:legendEntry>
      <c:legendEntry>
        <c:idx val="2"/>
        <c:txPr>
          <a:bodyPr rot="0" spcFirstLastPara="1" vertOverflow="ellipsis" vert="horz" wrap="square" anchor="ctr" anchorCtr="1"/>
          <a:lstStyle/>
          <a:p>
            <a:pPr>
              <a:defRPr sz="800" b="0" i="0" u="none" strike="noStrike" kern="1200" baseline="0">
                <a:solidFill>
                  <a:srgbClr val="C00000"/>
                </a:solidFill>
                <a:latin typeface="+mn-lt"/>
                <a:ea typeface="+mn-ea"/>
                <a:cs typeface="+mn-cs"/>
              </a:defRPr>
            </a:pPr>
            <a:endParaRPr lang="en-NG"/>
          </a:p>
        </c:txPr>
      </c:legendEntry>
      <c:legendEntry>
        <c:idx val="3"/>
        <c:txPr>
          <a:bodyPr rot="0" spcFirstLastPara="1" vertOverflow="ellipsis" vert="horz" wrap="square" anchor="ctr" anchorCtr="1"/>
          <a:lstStyle/>
          <a:p>
            <a:pPr>
              <a:defRPr sz="800" b="0" i="0" u="none" strike="noStrike" kern="1200" baseline="0">
                <a:solidFill>
                  <a:srgbClr val="C00000"/>
                </a:solidFill>
                <a:latin typeface="+mn-lt"/>
                <a:ea typeface="+mn-ea"/>
                <a:cs typeface="+mn-cs"/>
              </a:defRPr>
            </a:pPr>
            <a:endParaRPr lang="en-NG"/>
          </a:p>
        </c:txPr>
      </c:legendEntry>
      <c:layout>
        <c:manualLayout>
          <c:xMode val="edge"/>
          <c:yMode val="edge"/>
          <c:x val="0.70585668603651608"/>
          <c:y val="0.35150322118826055"/>
          <c:w val="0.27667606505518688"/>
          <c:h val="0.56972083035075161"/>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NG"/>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[Bayan_Sales_Dashboard.xlsm]Pivot_Tables!Sales Monthly Trend</c:name>
    <c:fmtId val="2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15875" cap="rnd" cmpd="sng">
            <a:solidFill>
              <a:srgbClr val="C00000"/>
            </a:solidFill>
            <a:prstDash val="sysDot"/>
            <a:round/>
          </a:ln>
          <a:effectLst>
            <a:outerShdw dist="25400" dir="2700000" algn="tl" rotWithShape="0">
              <a:schemeClr val="accent1"/>
            </a:outerShdw>
          </a:effectLst>
        </c:spPr>
        <c:marker>
          <c:symbol val="circle"/>
          <c:size val="5"/>
          <c:spPr>
            <a:solidFill>
              <a:srgbClr val="C00000">
                <a:alpha val="94000"/>
              </a:srgbClr>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ln w="15875" cap="rnd" cmpd="sng">
            <a:solidFill>
              <a:srgbClr val="C00000"/>
            </a:solidFill>
            <a:prstDash val="sysDot"/>
            <a:round/>
          </a:ln>
          <a:effectLst>
            <a:outerShdw dist="25400" dir="2700000" algn="tl" rotWithShape="0">
              <a:schemeClr val="accent1"/>
            </a:outerShdw>
          </a:effectLst>
        </c:spPr>
        <c:marker>
          <c:symbol val="circle"/>
          <c:size val="5"/>
          <c:spPr>
            <a:solidFill>
              <a:srgbClr val="C00000">
                <a:alpha val="94000"/>
              </a:srgbClr>
            </a:solidFill>
            <a:ln>
              <a:noFill/>
            </a:ln>
            <a:effectLst/>
          </c:spPr>
        </c:marker>
      </c:pivotFmt>
      <c:pivotFmt>
        <c:idx val="5"/>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Pivot_Tables!$D$9</c:f>
              <c:strCache>
                <c:ptCount val="1"/>
                <c:pt idx="0">
                  <c:v>Total</c:v>
                </c:pt>
              </c:strCache>
            </c:strRef>
          </c:tx>
          <c:spPr>
            <a:ln w="15875" cap="rnd" cmpd="sng">
              <a:solidFill>
                <a:srgbClr val="C00000"/>
              </a:solidFill>
              <a:prstDash val="sysDot"/>
              <a:round/>
            </a:ln>
            <a:effectLst>
              <a:outerShdw dist="25400" dir="2700000" algn="tl" rotWithShape="0">
                <a:schemeClr val="accent1"/>
              </a:outerShdw>
            </a:effectLst>
          </c:spPr>
          <c:marker>
            <c:symbol val="circle"/>
            <c:size val="5"/>
            <c:spPr>
              <a:solidFill>
                <a:srgbClr val="C00000">
                  <a:alpha val="94000"/>
                </a:srgbClr>
              </a:solidFill>
              <a:ln>
                <a:noFill/>
              </a:ln>
              <a:effectLst/>
            </c:spPr>
          </c:marker>
          <c:cat>
            <c:strRef>
              <c:f>Pivot_Tables!$C$10:$C$21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Pivot_Tables!$D$10:$D$21</c:f>
              <c:numCache>
                <c:formatCode>\$#,##0;\(\$#,##0\);\$#,##0</c:formatCode>
                <c:ptCount val="12"/>
                <c:pt idx="0">
                  <c:v>31569.241600000001</c:v>
                </c:pt>
                <c:pt idx="1">
                  <c:v>15765.920400000001</c:v>
                </c:pt>
                <c:pt idx="2">
                  <c:v>50768.275800000003</c:v>
                </c:pt>
                <c:pt idx="3">
                  <c:v>40698.583599999998</c:v>
                </c:pt>
                <c:pt idx="4">
                  <c:v>48365.130700000002</c:v>
                </c:pt>
                <c:pt idx="5">
                  <c:v>52999.463300000003</c:v>
                </c:pt>
                <c:pt idx="6">
                  <c:v>49377.012000000002</c:v>
                </c:pt>
                <c:pt idx="7">
                  <c:v>44884.044999999998</c:v>
                </c:pt>
                <c:pt idx="8">
                  <c:v>106380.5907</c:v>
                </c:pt>
                <c:pt idx="9">
                  <c:v>58087.515700000004</c:v>
                </c:pt>
                <c:pt idx="10">
                  <c:v>121286.049</c:v>
                </c:pt>
                <c:pt idx="11">
                  <c:v>121817.9675</c:v>
                </c:pt>
              </c:numCache>
            </c:numRef>
          </c:val>
          <c:smooth val="0"/>
          <c:extLst>
            <c:ext xmlns:c16="http://schemas.microsoft.com/office/drawing/2014/chart" uri="{C3380CC4-5D6E-409C-BE32-E72D297353CC}">
              <c16:uniqueId val="{0000000F-4361-4E0E-97CA-84FB7015474E}"/>
            </c:ext>
          </c:extLst>
        </c:ser>
        <c:dLbls>
          <c:showLegendKey val="0"/>
          <c:showVal val="0"/>
          <c:showCatName val="0"/>
          <c:showSerName val="0"/>
          <c:showPercent val="0"/>
          <c:showBubbleSize val="0"/>
        </c:dLbls>
        <c:dropLines>
          <c:spPr>
            <a:ln w="9525" cap="flat" cmpd="dbl" algn="ctr">
              <a:solidFill>
                <a:schemeClr val="accent2">
                  <a:lumMod val="60000"/>
                  <a:lumOff val="40000"/>
                </a:schemeClr>
              </a:solidFill>
              <a:prstDash val="sysDot"/>
              <a:round/>
            </a:ln>
            <a:effectLst/>
          </c:spPr>
        </c:dropLines>
        <c:marker val="1"/>
        <c:smooth val="0"/>
        <c:axId val="94840015"/>
        <c:axId val="94844815"/>
      </c:lineChart>
      <c:catAx>
        <c:axId val="948400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rgbClr val="C00000"/>
                </a:solidFill>
                <a:latin typeface="Times New Roman" panose="02020603050405020304" pitchFamily="18" charset="0"/>
                <a:ea typeface="+mn-ea"/>
                <a:cs typeface="Times New Roman" panose="02020603050405020304" pitchFamily="18" charset="0"/>
              </a:defRPr>
            </a:pPr>
            <a:endParaRPr lang="en-NG"/>
          </a:p>
        </c:txPr>
        <c:crossAx val="94844815"/>
        <c:crosses val="autoZero"/>
        <c:auto val="1"/>
        <c:lblAlgn val="ctr"/>
        <c:lblOffset val="100"/>
        <c:noMultiLvlLbl val="0"/>
      </c:catAx>
      <c:valAx>
        <c:axId val="94844815"/>
        <c:scaling>
          <c:orientation val="minMax"/>
        </c:scaling>
        <c:delete val="1"/>
        <c:axPos val="l"/>
        <c:numFmt formatCode="\$#,##0;\(\$#,##0\);\$#,##0" sourceLinked="1"/>
        <c:majorTickMark val="none"/>
        <c:minorTickMark val="none"/>
        <c:tickLblPos val="nextTo"/>
        <c:crossAx val="9484001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[Bayan_Sales_Dashboard.xlsm]Pivot_Tables!Shipping Duration</c:name>
    <c:fmtId val="3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solidFill>
                  <a:srgbClr val="C00000"/>
                </a:solidFill>
              </a:rPr>
              <a:t>Shipping Duration: </a:t>
            </a:r>
            <a:r>
              <a:rPr lang="en-US" sz="800">
                <a:solidFill>
                  <a:srgbClr val="FF0000"/>
                </a:solidFill>
              </a:rPr>
              <a:t>Most Order were shipped</a:t>
            </a:r>
            <a:r>
              <a:rPr lang="en-US" sz="800" baseline="0">
                <a:solidFill>
                  <a:srgbClr val="FF0000"/>
                </a:solidFill>
              </a:rPr>
              <a:t> by Day 4 with 28%</a:t>
            </a:r>
            <a:endParaRPr lang="en-US" sz="800">
              <a:solidFill>
                <a:srgbClr val="FF0000"/>
              </a:solidFill>
            </a:endParaRPr>
          </a:p>
        </c:rich>
      </c:tx>
      <c:layout>
        <c:manualLayout>
          <c:xMode val="edge"/>
          <c:yMode val="edge"/>
          <c:x val="1.2018547681539803E-2"/>
          <c:y val="2.04423765211166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2">
              <a:lumMod val="50000"/>
            </a:schemeClr>
          </a:solidFill>
          <a:ln w="9525">
            <a:noFill/>
            <a:prstDash val="sysDot"/>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50000"/>
            </a:schemeClr>
          </a:solidFill>
          <a:ln w="9525">
            <a:noFill/>
            <a:prstDash val="sysDot"/>
            <a:extLst>
              <a:ext uri="{C807C97D-BFC1-408E-A445-0C87EB9F89A2}">
                <ask:lineSketchStyleProps xmlns:ask="http://schemas.microsoft.com/office/drawing/2018/sketchyshapes">
                  <ask:type>
                    <ask:lineSketchNone/>
                  </ask:type>
                </ask:lineSketchStyleProps>
              </a:ext>
            </a:extLst>
          </a:ln>
          <a:effectLst/>
        </c:spPr>
      </c:pivotFmt>
      <c:pivotFmt>
        <c:idx val="2"/>
        <c:spPr>
          <a:solidFill>
            <a:schemeClr val="accent2">
              <a:lumMod val="50000"/>
            </a:schemeClr>
          </a:solidFill>
          <a:ln w="9525">
            <a:noFill/>
            <a:prstDash val="sysDot"/>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w="9525">
            <a:noFill/>
            <a:prstDash val="sysDot"/>
            <a:extLst>
              <a:ext uri="{C807C97D-BFC1-408E-A445-0C87EB9F89A2}">
                <ask:lineSketchStyleProps xmlns:ask="http://schemas.microsoft.com/office/drawing/2018/sketchyshapes">
                  <ask:type>
                    <ask:lineSketchNone/>
                  </ask:type>
                </ask:lineSketchStyleProps>
              </a:ext>
            </a:extLst>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666841644794398E-2"/>
          <c:y val="0.30493987115246957"/>
          <c:w val="0.93888888888888888"/>
          <c:h val="0.53034860415175389"/>
        </c:manualLayout>
      </c:layout>
      <c:barChart>
        <c:barDir val="col"/>
        <c:grouping val="clustered"/>
        <c:varyColors val="0"/>
        <c:ser>
          <c:idx val="0"/>
          <c:order val="0"/>
          <c:tx>
            <c:strRef>
              <c:f>Pivot_Tables!$G$2</c:f>
              <c:strCache>
                <c:ptCount val="1"/>
                <c:pt idx="0">
                  <c:v>Total</c:v>
                </c:pt>
              </c:strCache>
            </c:strRef>
          </c:tx>
          <c:spPr>
            <a:solidFill>
              <a:schemeClr val="accent2">
                <a:lumMod val="50000"/>
              </a:schemeClr>
            </a:solidFill>
            <a:ln w="9525">
              <a:noFill/>
              <a:prstDash val="sysDot"/>
              <a:extLst>
                <a:ext uri="{C807C97D-BFC1-408E-A445-0C87EB9F89A2}">
                  <ask:lineSketchStyleProps xmlns:ask="http://schemas.microsoft.com/office/drawing/2018/sketchyshapes">
                    <ask:type>
                      <ask:lineSketchNone/>
                    </ask:type>
                  </ask:lineSketchStyleProps>
                </a:ext>
              </a:extLst>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Pivot_Tables!$F$3:$F$10</c:f>
              <c:strCache>
                <c:ptCount val="8"/>
                <c:pt idx="0">
                  <c:v>0Days</c:v>
                </c:pt>
                <c:pt idx="1">
                  <c:v>1Days</c:v>
                </c:pt>
                <c:pt idx="2">
                  <c:v>2Days</c:v>
                </c:pt>
                <c:pt idx="3">
                  <c:v>3Days</c:v>
                </c:pt>
                <c:pt idx="4">
                  <c:v>4Days</c:v>
                </c:pt>
                <c:pt idx="5">
                  <c:v>5Days</c:v>
                </c:pt>
                <c:pt idx="6">
                  <c:v>6Days</c:v>
                </c:pt>
                <c:pt idx="7">
                  <c:v>7Days</c:v>
                </c:pt>
              </c:strCache>
            </c:strRef>
          </c:cat>
          <c:val>
            <c:numRef>
              <c:f>Pivot_Tables!$G$3:$G$10</c:f>
              <c:numCache>
                <c:formatCode>0%</c:formatCode>
                <c:ptCount val="8"/>
                <c:pt idx="0">
                  <c:v>5.469118340405469E-2</c:v>
                </c:pt>
                <c:pt idx="1">
                  <c:v>3.6303630363036306E-2</c:v>
                </c:pt>
                <c:pt idx="2">
                  <c:v>0.14615747289014616</c:v>
                </c:pt>
                <c:pt idx="3">
                  <c:v>8.7694483734087697E-2</c:v>
                </c:pt>
                <c:pt idx="4">
                  <c:v>0.28335690711928335</c:v>
                </c:pt>
                <c:pt idx="5">
                  <c:v>0.2197076850542197</c:v>
                </c:pt>
                <c:pt idx="6">
                  <c:v>0.11126826968411127</c:v>
                </c:pt>
                <c:pt idx="7">
                  <c:v>6.0820367751060818E-2</c:v>
                </c:pt>
              </c:numCache>
            </c:numRef>
          </c:val>
          <c:extLst>
            <c:ext xmlns:c16="http://schemas.microsoft.com/office/drawing/2014/chart" uri="{C3380CC4-5D6E-409C-BE32-E72D297353CC}">
              <c16:uniqueId val="{0000000E-5599-4818-80ED-9886149D61B7}"/>
            </c:ext>
          </c:extLst>
        </c:ser>
        <c:dLbls>
          <c:dLblPos val="outEnd"/>
          <c:showLegendKey val="0"/>
          <c:showVal val="1"/>
          <c:showCatName val="0"/>
          <c:showSerName val="0"/>
          <c:showPercent val="0"/>
          <c:showBubbleSize val="0"/>
        </c:dLbls>
        <c:gapWidth val="160"/>
        <c:overlap val="16"/>
        <c:axId val="1123359792"/>
        <c:axId val="1123348272"/>
      </c:barChart>
      <c:catAx>
        <c:axId val="1123359792"/>
        <c:scaling>
          <c:orientation val="minMax"/>
        </c:scaling>
        <c:delete val="0"/>
        <c:axPos val="b"/>
        <c:numFmt formatCode="General" sourceLinked="1"/>
        <c:majorTickMark val="none"/>
        <c:minorTickMark val="none"/>
        <c:tickLblPos val="nextTo"/>
        <c:spPr>
          <a:noFill/>
          <a:ln w="3175" cap="flat" cmpd="sng" algn="ctr">
            <a:solidFill>
              <a:schemeClr val="accent2"/>
            </a:solidFill>
            <a:prstDash val="solid"/>
            <a:miter lim="800000"/>
          </a:ln>
          <a:effectLst/>
        </c:spPr>
        <c:txPr>
          <a:bodyPr rot="-60000000" spcFirstLastPara="1" vertOverflow="ellipsis" vert="horz" wrap="square" anchor="ctr" anchorCtr="1"/>
          <a:lstStyle/>
          <a:p>
            <a:pPr>
              <a:defRPr sz="900" b="0" i="0" u="none" strike="noStrike" kern="1200" baseline="0">
                <a:solidFill>
                  <a:srgbClr val="C00000"/>
                </a:solidFill>
                <a:latin typeface="+mn-lt"/>
                <a:ea typeface="+mn-ea"/>
                <a:cs typeface="+mn-cs"/>
              </a:defRPr>
            </a:pPr>
            <a:endParaRPr lang="en-NG"/>
          </a:p>
        </c:txPr>
        <c:crossAx val="1123348272"/>
        <c:crosses val="autoZero"/>
        <c:auto val="1"/>
        <c:lblAlgn val="ctr"/>
        <c:lblOffset val="100"/>
        <c:noMultiLvlLbl val="0"/>
      </c:catAx>
      <c:valAx>
        <c:axId val="1123348272"/>
        <c:scaling>
          <c:orientation val="minMax"/>
        </c:scaling>
        <c:delete val="1"/>
        <c:axPos val="l"/>
        <c:numFmt formatCode="0%" sourceLinked="1"/>
        <c:majorTickMark val="none"/>
        <c:minorTickMark val="none"/>
        <c:tickLblPos val="nextTo"/>
        <c:crossAx val="112335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ysDot"/>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[Bayan_Sales_Dashboard.xlsm]Pivot_Tables!Revenue by Segment</c:name>
    <c:fmtId val="59"/>
  </c:pivotSource>
  <c:chart>
    <c:title>
      <c:tx>
        <c:rich>
          <a:bodyPr rot="0" spcFirstLastPara="1" vertOverflow="ellipsis" vert="horz" wrap="square" anchor="ctr" anchorCtr="1"/>
          <a:lstStyle/>
          <a:p>
            <a:pPr algn="r">
              <a:defRPr sz="1400" b="0" i="0" u="none" strike="noStrike" kern="1200" spc="0" baseline="0">
                <a:solidFill>
                  <a:schemeClr val="tx1">
                    <a:lumMod val="65000"/>
                    <a:lumOff val="35000"/>
                  </a:schemeClr>
                </a:solidFill>
                <a:latin typeface="+mn-lt"/>
                <a:ea typeface="+mn-ea"/>
                <a:cs typeface="+mn-cs"/>
              </a:defRPr>
            </a:pPr>
            <a:r>
              <a:rPr lang="en-US" sz="1050" b="1">
                <a:solidFill>
                  <a:srgbClr val="C00000"/>
                </a:solidFill>
                <a:latin typeface="Times New Roman" panose="02020603050405020304" pitchFamily="18" charset="0"/>
                <a:cs typeface="Times New Roman" panose="02020603050405020304" pitchFamily="18" charset="0"/>
              </a:rPr>
              <a:t>Revenue</a:t>
            </a:r>
            <a:r>
              <a:rPr lang="en-US" sz="1050" b="1" baseline="0">
                <a:solidFill>
                  <a:srgbClr val="C00000"/>
                </a:solidFill>
                <a:latin typeface="Times New Roman" panose="02020603050405020304" pitchFamily="18" charset="0"/>
                <a:cs typeface="Times New Roman" panose="02020603050405020304" pitchFamily="18" charset="0"/>
              </a:rPr>
              <a:t> by Segment</a:t>
            </a:r>
            <a:endParaRPr lang="en-US" sz="1050" b="1">
              <a:solidFill>
                <a:srgbClr val="C00000"/>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lgn="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2">
              <a:lumMod val="5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lumMod val="50000"/>
            </a:schemeClr>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lumMod val="60000"/>
              <a:lumOff val="40000"/>
            </a:schemeClr>
          </a:solidFill>
          <a:ln w="19050">
            <a:noFill/>
          </a:ln>
          <a:effectLst/>
        </c:spPr>
        <c:dLbl>
          <c:idx val="0"/>
          <c:layout>
            <c:manualLayout>
              <c:x val="4.4247787610619468E-2"/>
              <c:y val="5.83333333333333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20000"/>
              <a:lumOff val="80000"/>
            </a:schemeClr>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Pivot_Tables!$J$12</c:f>
              <c:strCache>
                <c:ptCount val="1"/>
                <c:pt idx="0">
                  <c:v>Total</c:v>
                </c:pt>
              </c:strCache>
            </c:strRef>
          </c:tx>
          <c:spPr>
            <a:solidFill>
              <a:schemeClr val="accent2">
                <a:lumMod val="50000"/>
              </a:schemeClr>
            </a:solidFill>
          </c:spPr>
          <c:explosion val="10"/>
          <c:dPt>
            <c:idx val="0"/>
            <c:bubble3D val="0"/>
            <c:spPr>
              <a:solidFill>
                <a:schemeClr val="accent2">
                  <a:lumMod val="50000"/>
                </a:schemeClr>
              </a:solidFill>
              <a:ln w="19050">
                <a:noFill/>
              </a:ln>
              <a:effectLst/>
            </c:spPr>
            <c:extLst>
              <c:ext xmlns:c16="http://schemas.microsoft.com/office/drawing/2014/chart" uri="{C3380CC4-5D6E-409C-BE32-E72D297353CC}">
                <c16:uniqueId val="{00000001-0BBE-45B7-A2E0-B6252358F420}"/>
              </c:ext>
            </c:extLst>
          </c:dPt>
          <c:dPt>
            <c:idx val="1"/>
            <c:bubble3D val="0"/>
            <c:spPr>
              <a:solidFill>
                <a:schemeClr val="accent2">
                  <a:lumMod val="60000"/>
                  <a:lumOff val="40000"/>
                </a:schemeClr>
              </a:solidFill>
              <a:ln w="19050">
                <a:noFill/>
              </a:ln>
              <a:effectLst/>
            </c:spPr>
            <c:extLst>
              <c:ext xmlns:c16="http://schemas.microsoft.com/office/drawing/2014/chart" uri="{C3380CC4-5D6E-409C-BE32-E72D297353CC}">
                <c16:uniqueId val="{00000003-0BBE-45B7-A2E0-B6252358F420}"/>
              </c:ext>
            </c:extLst>
          </c:dPt>
          <c:dPt>
            <c:idx val="2"/>
            <c:bubble3D val="0"/>
            <c:spPr>
              <a:solidFill>
                <a:schemeClr val="accent2">
                  <a:lumMod val="20000"/>
                  <a:lumOff val="80000"/>
                </a:schemeClr>
              </a:solidFill>
              <a:ln w="19050">
                <a:noFill/>
              </a:ln>
              <a:effectLst/>
            </c:spPr>
            <c:extLst>
              <c:ext xmlns:c16="http://schemas.microsoft.com/office/drawing/2014/chart" uri="{C3380CC4-5D6E-409C-BE32-E72D297353CC}">
                <c16:uniqueId val="{00000005-0BBE-45B7-A2E0-B6252358F420}"/>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BBE-45B7-A2E0-B6252358F420}"/>
                </c:ext>
              </c:extLst>
            </c:dLbl>
            <c:dLbl>
              <c:idx val="1"/>
              <c:layout>
                <c:manualLayout>
                  <c:x val="4.4247787610619468E-2"/>
                  <c:y val="5.833333333333333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BBE-45B7-A2E0-B6252358F42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BBE-45B7-A2E0-B6252358F4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s>
          <c:cat>
            <c:strRef>
              <c:f>Pivot_Tables!$I$13:$I$15</c:f>
              <c:strCache>
                <c:ptCount val="3"/>
                <c:pt idx="0">
                  <c:v>Consumer</c:v>
                </c:pt>
                <c:pt idx="1">
                  <c:v>Corporate</c:v>
                </c:pt>
                <c:pt idx="2">
                  <c:v>Home Office</c:v>
                </c:pt>
              </c:strCache>
            </c:strRef>
          </c:cat>
          <c:val>
            <c:numRef>
              <c:f>Pivot_Tables!$J$13:$J$15</c:f>
              <c:numCache>
                <c:formatCode>0.00%</c:formatCode>
                <c:ptCount val="3"/>
                <c:pt idx="0">
                  <c:v>0.52702078151098919</c:v>
                </c:pt>
                <c:pt idx="1">
                  <c:v>0.30865208757558266</c:v>
                </c:pt>
                <c:pt idx="2">
                  <c:v>0.16432713091342815</c:v>
                </c:pt>
              </c:numCache>
            </c:numRef>
          </c:val>
          <c:extLst>
            <c:ext xmlns:c16="http://schemas.microsoft.com/office/drawing/2014/chart" uri="{C3380CC4-5D6E-409C-BE32-E72D297353CC}">
              <c16:uniqueId val="{00000014-9F65-43FF-A9D2-733CDF1225F1}"/>
            </c:ext>
          </c:extLst>
        </c:ser>
        <c:dLbls>
          <c:showLegendKey val="0"/>
          <c:showVal val="0"/>
          <c:showCatName val="0"/>
          <c:showSerName val="0"/>
          <c:showPercent val="0"/>
          <c:showBubbleSize val="0"/>
          <c:showLeaderLines val="1"/>
        </c:dLbls>
        <c:firstSliceAng val="168"/>
      </c:pieChart>
      <c:spPr>
        <a:noFill/>
        <a:ln>
          <a:noFill/>
        </a:ln>
        <a:effectLst/>
      </c:spPr>
    </c:plotArea>
    <c:legend>
      <c:legendPos val="r"/>
      <c:layout>
        <c:manualLayout>
          <c:xMode val="edge"/>
          <c:yMode val="edge"/>
          <c:x val="0.75241516270643161"/>
          <c:y val="0.26981758530183725"/>
          <c:w val="0.24758483729356839"/>
          <c:h val="0.3692814960629921"/>
        </c:manualLayout>
      </c:layout>
      <c:overlay val="0"/>
      <c:spPr>
        <a:noFill/>
        <a:ln>
          <a:noFill/>
        </a:ln>
        <a:effectLst/>
      </c:spPr>
      <c:txPr>
        <a:bodyPr rot="0" spcFirstLastPara="1" vertOverflow="ellipsis" vert="horz" wrap="square" anchor="ctr" anchorCtr="1"/>
        <a:lstStyle/>
        <a:p>
          <a:pPr>
            <a:defRPr sz="800" b="0" i="0" u="none" strike="noStrike" kern="1200" baseline="0">
              <a:solidFill>
                <a:srgbClr val="C00000"/>
              </a:solidFill>
              <a:latin typeface="Times New Roman" panose="02020603050405020304" pitchFamily="18" charset="0"/>
              <a:ea typeface="+mn-ea"/>
              <a:cs typeface="Times New Roman" panose="02020603050405020304" pitchFamily="18" charset="0"/>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[Bayan_Sales_Dashboard.xlsm]Pivot_Tables!Lowest Profit by States</c:name>
    <c:fmtId val="4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rgbClr val="C00000"/>
                </a:solidFill>
                <a:latin typeface="Times New Roman" panose="02020603050405020304" pitchFamily="18" charset="0"/>
                <a:cs typeface="Times New Roman" panose="02020603050405020304" pitchFamily="18" charset="0"/>
              </a:rPr>
              <a:t>Profit By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2">
                  <a:lumMod val="50000"/>
                </a:schemeClr>
              </a:gs>
              <a:gs pos="74000">
                <a:srgbClr val="FF0000"/>
              </a:gs>
            </a:gsLst>
            <a:lin ang="27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2">
                  <a:lumMod val="50000"/>
                </a:schemeClr>
              </a:gs>
              <a:gs pos="74000">
                <a:srgbClr val="FF0000"/>
              </a:gs>
            </a:gsLst>
            <a:lin ang="2700000" scaled="0"/>
          </a:gradFill>
          <a:ln>
            <a:noFill/>
          </a:ln>
          <a:effectLst/>
        </c:spPr>
      </c:pivotFmt>
      <c:pivotFmt>
        <c:idx val="4"/>
        <c:spPr>
          <a:gradFill>
            <a:gsLst>
              <a:gs pos="0">
                <a:schemeClr val="accent2">
                  <a:lumMod val="50000"/>
                </a:schemeClr>
              </a:gs>
              <a:gs pos="74000">
                <a:srgbClr val="FF0000"/>
              </a:gs>
            </a:gsLst>
            <a:lin ang="2700000" scaled="0"/>
          </a:gradFill>
          <a:ln>
            <a:noFill/>
          </a:ln>
          <a:effectLst/>
        </c:spPr>
      </c:pivotFmt>
      <c:pivotFmt>
        <c:idx val="5"/>
        <c:spPr>
          <a:gradFill>
            <a:gsLst>
              <a:gs pos="0">
                <a:schemeClr val="accent2">
                  <a:lumMod val="50000"/>
                </a:schemeClr>
              </a:gs>
              <a:gs pos="74000">
                <a:srgbClr val="FF0000"/>
              </a:gs>
            </a:gsLst>
            <a:lin ang="2700000" scaled="0"/>
          </a:gradFill>
          <a:ln>
            <a:noFill/>
          </a:ln>
          <a:effectLst/>
        </c:spPr>
      </c:pivotFmt>
      <c:pivotFmt>
        <c:idx val="6"/>
        <c:spPr>
          <a:gradFill>
            <a:gsLst>
              <a:gs pos="0">
                <a:schemeClr val="accent2">
                  <a:lumMod val="50000"/>
                </a:schemeClr>
              </a:gs>
              <a:gs pos="74000">
                <a:srgbClr val="FF0000"/>
              </a:gs>
            </a:gsLst>
            <a:lin ang="2700000" scaled="0"/>
          </a:gradFill>
          <a:ln>
            <a:noFill/>
          </a:ln>
          <a:effectLst/>
        </c:spPr>
      </c:pivotFmt>
      <c:pivotFmt>
        <c:idx val="7"/>
        <c:spPr>
          <a:gradFill>
            <a:gsLst>
              <a:gs pos="0">
                <a:schemeClr val="accent2">
                  <a:lumMod val="50000"/>
                </a:schemeClr>
              </a:gs>
              <a:gs pos="74000">
                <a:srgbClr val="FF0000"/>
              </a:gs>
            </a:gsLst>
            <a:lin ang="2700000" scaled="0"/>
          </a:gradFill>
          <a:ln>
            <a:noFill/>
          </a:ln>
          <a:effectLst/>
        </c:spPr>
      </c:pivotFmt>
      <c:pivotFmt>
        <c:idx val="8"/>
        <c:spPr>
          <a:gradFill>
            <a:gsLst>
              <a:gs pos="0">
                <a:schemeClr val="accent2">
                  <a:lumMod val="50000"/>
                </a:schemeClr>
              </a:gs>
              <a:gs pos="74000">
                <a:srgbClr val="FF0000"/>
              </a:gs>
            </a:gsLst>
            <a:lin ang="2700000" scaled="0"/>
          </a:gradFill>
          <a:ln>
            <a:noFill/>
          </a:ln>
          <a:effectLst/>
        </c:spPr>
      </c:pivotFmt>
      <c:pivotFmt>
        <c:idx val="9"/>
        <c:spPr>
          <a:gradFill>
            <a:gsLst>
              <a:gs pos="0">
                <a:schemeClr val="accent2">
                  <a:lumMod val="50000"/>
                </a:schemeClr>
              </a:gs>
              <a:gs pos="74000">
                <a:srgbClr val="FF0000"/>
              </a:gs>
            </a:gsLst>
            <a:lin ang="2700000" scaled="0"/>
          </a:gradFill>
          <a:ln>
            <a:noFill/>
          </a:ln>
          <a:effectLst/>
        </c:spPr>
      </c:pivotFmt>
      <c:pivotFmt>
        <c:idx val="10"/>
        <c:spPr>
          <a:gradFill>
            <a:gsLst>
              <a:gs pos="0">
                <a:schemeClr val="accent2">
                  <a:lumMod val="50000"/>
                </a:schemeClr>
              </a:gs>
              <a:gs pos="74000">
                <a:srgbClr val="FF0000"/>
              </a:gs>
            </a:gsLst>
            <a:lin ang="2700000" scaled="0"/>
          </a:gradFill>
          <a:ln>
            <a:noFill/>
          </a:ln>
          <a:effectLst/>
        </c:spPr>
      </c:pivotFmt>
      <c:pivotFmt>
        <c:idx val="11"/>
        <c:spPr>
          <a:gradFill>
            <a:gsLst>
              <a:gs pos="0">
                <a:schemeClr val="accent2">
                  <a:lumMod val="50000"/>
                </a:schemeClr>
              </a:gs>
              <a:gs pos="74000">
                <a:srgbClr val="FF0000"/>
              </a:gs>
            </a:gsLst>
            <a:lin ang="2700000" scaled="0"/>
          </a:gradFill>
          <a:ln>
            <a:noFill/>
          </a:ln>
          <a:effectLst/>
        </c:spPr>
      </c:pivotFmt>
    </c:pivotFmts>
    <c:plotArea>
      <c:layout/>
      <c:barChart>
        <c:barDir val="bar"/>
        <c:grouping val="clustered"/>
        <c:varyColors val="1"/>
        <c:ser>
          <c:idx val="0"/>
          <c:order val="0"/>
          <c:tx>
            <c:strRef>
              <c:f>Pivot_Tables!$M$2</c:f>
              <c:strCache>
                <c:ptCount val="1"/>
                <c:pt idx="0">
                  <c:v>Total</c:v>
                </c:pt>
              </c:strCache>
            </c:strRef>
          </c:tx>
          <c:spPr>
            <a:gradFill>
              <a:gsLst>
                <a:gs pos="0">
                  <a:schemeClr val="accent2">
                    <a:lumMod val="50000"/>
                  </a:schemeClr>
                </a:gs>
                <a:gs pos="74000">
                  <a:srgbClr val="FF0000"/>
                </a:gs>
              </a:gsLst>
              <a:lin ang="2700000" scaled="0"/>
            </a:gradFill>
            <a:ln>
              <a:noFill/>
            </a:ln>
          </c:spPr>
          <c:invertIfNegative val="0"/>
          <c:dPt>
            <c:idx val="0"/>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1-8BF9-4E3B-BF1D-CF973B4C41E2}"/>
              </c:ext>
            </c:extLst>
          </c:dPt>
          <c:dPt>
            <c:idx val="1"/>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3-8BF9-4E3B-BF1D-CF973B4C41E2}"/>
              </c:ext>
            </c:extLst>
          </c:dPt>
          <c:dPt>
            <c:idx val="2"/>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5-8BF9-4E3B-BF1D-CF973B4C41E2}"/>
              </c:ext>
            </c:extLst>
          </c:dPt>
          <c:dPt>
            <c:idx val="3"/>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7-8BF9-4E3B-BF1D-CF973B4C41E2}"/>
              </c:ext>
            </c:extLst>
          </c:dPt>
          <c:dPt>
            <c:idx val="4"/>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9-8BF9-4E3B-BF1D-CF973B4C41E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Pivot_Tables!$L$3:$L$7</c:f>
              <c:strCache>
                <c:ptCount val="5"/>
                <c:pt idx="0">
                  <c:v>Montana</c:v>
                </c:pt>
                <c:pt idx="1">
                  <c:v>Maine</c:v>
                </c:pt>
                <c:pt idx="2">
                  <c:v>Kansas</c:v>
                </c:pt>
                <c:pt idx="3">
                  <c:v>Texas</c:v>
                </c:pt>
                <c:pt idx="4">
                  <c:v>South Dakota</c:v>
                </c:pt>
              </c:strCache>
            </c:strRef>
          </c:cat>
          <c:val>
            <c:numRef>
              <c:f>Pivot_Tables!$M$3:$M$7</c:f>
              <c:numCache>
                <c:formatCode>\$#,##0;\(\$#,##0\);\$#,##0</c:formatCode>
                <c:ptCount val="5"/>
                <c:pt idx="0">
                  <c:v>21.7532</c:v>
                </c:pt>
                <c:pt idx="1">
                  <c:v>33.938800000000001</c:v>
                </c:pt>
                <c:pt idx="2">
                  <c:v>36.9696</c:v>
                </c:pt>
                <c:pt idx="3">
                  <c:v>41.933999999999997</c:v>
                </c:pt>
                <c:pt idx="4">
                  <c:v>67.189800000000005</c:v>
                </c:pt>
              </c:numCache>
            </c:numRef>
          </c:val>
          <c:extLst>
            <c:ext xmlns:c16="http://schemas.microsoft.com/office/drawing/2014/chart" uri="{C3380CC4-5D6E-409C-BE32-E72D297353CC}">
              <c16:uniqueId val="{00000017-3B77-4C21-8926-F49F5D84917D}"/>
            </c:ext>
          </c:extLst>
        </c:ser>
        <c:dLbls>
          <c:dLblPos val="outEnd"/>
          <c:showLegendKey val="0"/>
          <c:showVal val="1"/>
          <c:showCatName val="0"/>
          <c:showSerName val="0"/>
          <c:showPercent val="0"/>
          <c:showBubbleSize val="0"/>
        </c:dLbls>
        <c:gapWidth val="182"/>
        <c:axId val="24727455"/>
        <c:axId val="24727935"/>
      </c:barChart>
      <c:catAx>
        <c:axId val="2472745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NG"/>
          </a:p>
        </c:txPr>
        <c:crossAx val="24727935"/>
        <c:crosses val="autoZero"/>
        <c:auto val="1"/>
        <c:lblAlgn val="ctr"/>
        <c:lblOffset val="100"/>
        <c:noMultiLvlLbl val="0"/>
      </c:catAx>
      <c:valAx>
        <c:axId val="24727935"/>
        <c:scaling>
          <c:orientation val="minMax"/>
        </c:scaling>
        <c:delete val="1"/>
        <c:axPos val="b"/>
        <c:numFmt formatCode="\$#,##0;\(\$#,##0\);\$#,##0" sourceLinked="1"/>
        <c:majorTickMark val="none"/>
        <c:minorTickMark val="none"/>
        <c:tickLblPos val="nextTo"/>
        <c:crossAx val="24727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[Bayan_Sales_Dashboard.xlsm]Pivot_Tables!Highest Profit by States</c:name>
    <c:fmtId val="4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rgbClr val="C00000"/>
                </a:solidFill>
                <a:latin typeface="Times New Roman" panose="02020603050405020304" pitchFamily="18" charset="0"/>
                <a:cs typeface="Times New Roman" panose="02020603050405020304" pitchFamily="18" charset="0"/>
              </a:rPr>
              <a:t>Profit By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gradFill flip="none" rotWithShape="1">
            <a:gsLst>
              <a:gs pos="31000">
                <a:schemeClr val="accent2">
                  <a:lumMod val="60000"/>
                  <a:lumOff val="40000"/>
                </a:schemeClr>
              </a:gs>
              <a:gs pos="83000">
                <a:schemeClr val="accent2">
                  <a:lumMod val="40000"/>
                  <a:lumOff val="60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59000">
                <a:schemeClr val="accent2">
                  <a:lumMod val="50000"/>
                </a:schemeClr>
              </a:gs>
              <a:gs pos="87000">
                <a:schemeClr val="accent2">
                  <a:lumMod val="40000"/>
                  <a:lumOff val="60000"/>
                </a:schemeClr>
              </a:gs>
            </a:gsLst>
            <a:lin ang="2700000" scaled="1"/>
            <a:tileRect/>
          </a:gradFill>
          <a:ln>
            <a:noFill/>
          </a:ln>
          <a:effectLst/>
        </c:spPr>
      </c:pivotFmt>
      <c:pivotFmt>
        <c:idx val="2"/>
        <c:spPr>
          <a:gradFill flip="none" rotWithShape="1">
            <a:gsLst>
              <a:gs pos="59000">
                <a:schemeClr val="accent2">
                  <a:lumMod val="74000"/>
                </a:schemeClr>
              </a:gs>
              <a:gs pos="83000">
                <a:schemeClr val="accent2">
                  <a:lumMod val="40000"/>
                  <a:lumOff val="60000"/>
                </a:schemeClr>
              </a:gs>
            </a:gsLst>
            <a:lin ang="2700000" scaled="1"/>
            <a:tileRect/>
          </a:gradFill>
          <a:ln>
            <a:noFill/>
          </a:ln>
          <a:effectLst/>
        </c:spPr>
      </c:pivotFmt>
      <c:pivotFmt>
        <c:idx val="3"/>
        <c:spPr>
          <a:gradFill flip="none" rotWithShape="1">
            <a:gsLst>
              <a:gs pos="59000">
                <a:schemeClr val="accent2">
                  <a:lumMod val="60000"/>
                  <a:lumOff val="40000"/>
                </a:schemeClr>
              </a:gs>
              <a:gs pos="83000">
                <a:schemeClr val="accent2">
                  <a:lumMod val="50000"/>
                </a:schemeClr>
              </a:gs>
            </a:gsLst>
            <a:lin ang="2700000" scaled="1"/>
            <a:tileRect/>
          </a:gradFill>
          <a:ln>
            <a:noFill/>
          </a:ln>
          <a:effectLst/>
        </c:spPr>
      </c:pivotFmt>
      <c:pivotFmt>
        <c:idx val="4"/>
        <c:spPr>
          <a:gradFill flip="none" rotWithShape="1">
            <a:gsLst>
              <a:gs pos="59000">
                <a:schemeClr val="accent2">
                  <a:lumMod val="40000"/>
                  <a:lumOff val="60000"/>
                </a:schemeClr>
              </a:gs>
              <a:gs pos="83000">
                <a:schemeClr val="accent2">
                  <a:lumMod val="75000"/>
                </a:schemeClr>
              </a:gs>
            </a:gsLst>
            <a:lin ang="2700000" scaled="1"/>
            <a:tileRect/>
          </a:gradFill>
          <a:ln>
            <a:noFill/>
          </a:ln>
          <a:effectLst/>
        </c:spPr>
      </c:pivotFmt>
      <c:pivotFmt>
        <c:idx val="5"/>
        <c:spPr>
          <a:gradFill flip="none" rotWithShape="1">
            <a:gsLst>
              <a:gs pos="59000">
                <a:schemeClr val="accent2">
                  <a:lumMod val="20000"/>
                  <a:lumOff val="80000"/>
                </a:schemeClr>
              </a:gs>
              <a:gs pos="83000">
                <a:schemeClr val="accent2">
                  <a:lumMod val="60000"/>
                  <a:lumOff val="40000"/>
                </a:schemeClr>
              </a:gs>
            </a:gsLst>
            <a:lin ang="2700000" scaled="1"/>
            <a:tileRect/>
          </a:gradFill>
          <a:ln>
            <a:noFill/>
          </a:ln>
          <a:effectLst/>
        </c:spPr>
      </c:pivotFmt>
      <c:pivotFmt>
        <c:idx val="6"/>
        <c:spPr>
          <a:gradFill flip="none" rotWithShape="1">
            <a:gsLst>
              <a:gs pos="31000">
                <a:schemeClr val="accent2">
                  <a:lumMod val="60000"/>
                  <a:lumOff val="40000"/>
                </a:schemeClr>
              </a:gs>
              <a:gs pos="83000">
                <a:schemeClr val="accent2">
                  <a:lumMod val="40000"/>
                  <a:lumOff val="60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flip="none" rotWithShape="1">
            <a:gsLst>
              <a:gs pos="59000">
                <a:schemeClr val="accent2">
                  <a:lumMod val="20000"/>
                  <a:lumOff val="80000"/>
                </a:schemeClr>
              </a:gs>
              <a:gs pos="83000">
                <a:schemeClr val="accent2">
                  <a:lumMod val="60000"/>
                  <a:lumOff val="40000"/>
                </a:schemeClr>
              </a:gs>
            </a:gsLst>
            <a:lin ang="2700000" scaled="1"/>
            <a:tileRect/>
          </a:gradFill>
          <a:ln>
            <a:noFill/>
          </a:ln>
          <a:effectLst/>
        </c:spPr>
      </c:pivotFmt>
      <c:pivotFmt>
        <c:idx val="8"/>
        <c:spPr>
          <a:gradFill flip="none" rotWithShape="1">
            <a:gsLst>
              <a:gs pos="59000">
                <a:schemeClr val="accent2">
                  <a:lumMod val="40000"/>
                  <a:lumOff val="60000"/>
                </a:schemeClr>
              </a:gs>
              <a:gs pos="83000">
                <a:schemeClr val="accent2">
                  <a:lumMod val="75000"/>
                </a:schemeClr>
              </a:gs>
            </a:gsLst>
            <a:lin ang="2700000" scaled="1"/>
            <a:tileRect/>
          </a:gradFill>
          <a:ln>
            <a:noFill/>
          </a:ln>
          <a:effectLst/>
        </c:spPr>
      </c:pivotFmt>
      <c:pivotFmt>
        <c:idx val="9"/>
        <c:spPr>
          <a:gradFill flip="none" rotWithShape="1">
            <a:gsLst>
              <a:gs pos="59000">
                <a:schemeClr val="accent2">
                  <a:lumMod val="60000"/>
                  <a:lumOff val="40000"/>
                </a:schemeClr>
              </a:gs>
              <a:gs pos="83000">
                <a:schemeClr val="accent2">
                  <a:lumMod val="50000"/>
                </a:schemeClr>
              </a:gs>
            </a:gsLst>
            <a:lin ang="2700000" scaled="1"/>
            <a:tileRect/>
          </a:gradFill>
          <a:ln>
            <a:noFill/>
          </a:ln>
          <a:effectLst/>
        </c:spPr>
      </c:pivotFmt>
      <c:pivotFmt>
        <c:idx val="10"/>
        <c:spPr>
          <a:gradFill flip="none" rotWithShape="1">
            <a:gsLst>
              <a:gs pos="59000">
                <a:schemeClr val="accent2">
                  <a:lumMod val="74000"/>
                </a:schemeClr>
              </a:gs>
              <a:gs pos="83000">
                <a:schemeClr val="accent2">
                  <a:lumMod val="40000"/>
                  <a:lumOff val="60000"/>
                </a:schemeClr>
              </a:gs>
            </a:gsLst>
            <a:lin ang="2700000" scaled="1"/>
            <a:tileRect/>
          </a:gradFill>
          <a:ln>
            <a:noFill/>
          </a:ln>
          <a:effectLst/>
        </c:spPr>
      </c:pivotFmt>
      <c:pivotFmt>
        <c:idx val="11"/>
        <c:spPr>
          <a:gradFill flip="none" rotWithShape="1">
            <a:gsLst>
              <a:gs pos="59000">
                <a:schemeClr val="accent2">
                  <a:lumMod val="50000"/>
                </a:schemeClr>
              </a:gs>
              <a:gs pos="87000">
                <a:schemeClr val="accent2">
                  <a:lumMod val="40000"/>
                  <a:lumOff val="60000"/>
                </a:schemeClr>
              </a:gs>
            </a:gsLst>
            <a:lin ang="2700000" scaled="1"/>
            <a:tileRect/>
          </a:gradFill>
          <a:ln>
            <a:noFill/>
          </a:ln>
          <a:effectLst/>
        </c:spPr>
      </c:pivotFmt>
      <c:pivotFmt>
        <c:idx val="12"/>
        <c:spPr>
          <a:gradFill flip="none" rotWithShape="1">
            <a:gsLst>
              <a:gs pos="31000">
                <a:schemeClr val="accent2">
                  <a:lumMod val="60000"/>
                  <a:lumOff val="40000"/>
                </a:schemeClr>
              </a:gs>
              <a:gs pos="83000">
                <a:schemeClr val="accent2">
                  <a:lumMod val="40000"/>
                  <a:lumOff val="60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59000">
                <a:schemeClr val="accent2">
                  <a:lumMod val="20000"/>
                  <a:lumOff val="80000"/>
                </a:schemeClr>
              </a:gs>
              <a:gs pos="83000">
                <a:schemeClr val="accent2">
                  <a:lumMod val="60000"/>
                  <a:lumOff val="40000"/>
                </a:schemeClr>
              </a:gs>
            </a:gsLst>
            <a:lin ang="2700000" scaled="1"/>
            <a:tileRect/>
          </a:gradFill>
          <a:ln>
            <a:noFill/>
          </a:ln>
          <a:effectLst/>
        </c:spPr>
      </c:pivotFmt>
      <c:pivotFmt>
        <c:idx val="14"/>
        <c:spPr>
          <a:gradFill flip="none" rotWithShape="1">
            <a:gsLst>
              <a:gs pos="59000">
                <a:schemeClr val="accent2">
                  <a:lumMod val="40000"/>
                  <a:lumOff val="60000"/>
                </a:schemeClr>
              </a:gs>
              <a:gs pos="83000">
                <a:schemeClr val="accent2">
                  <a:lumMod val="75000"/>
                </a:schemeClr>
              </a:gs>
            </a:gsLst>
            <a:lin ang="2700000" scaled="1"/>
            <a:tileRect/>
          </a:gradFill>
          <a:ln>
            <a:noFill/>
          </a:ln>
          <a:effectLst/>
        </c:spPr>
      </c:pivotFmt>
      <c:pivotFmt>
        <c:idx val="15"/>
        <c:spPr>
          <a:gradFill flip="none" rotWithShape="1">
            <a:gsLst>
              <a:gs pos="59000">
                <a:schemeClr val="accent2">
                  <a:lumMod val="60000"/>
                  <a:lumOff val="40000"/>
                </a:schemeClr>
              </a:gs>
              <a:gs pos="83000">
                <a:schemeClr val="accent2">
                  <a:lumMod val="50000"/>
                </a:schemeClr>
              </a:gs>
            </a:gsLst>
            <a:lin ang="2700000" scaled="1"/>
            <a:tileRect/>
          </a:gradFill>
          <a:ln>
            <a:noFill/>
          </a:ln>
          <a:effectLst/>
        </c:spPr>
      </c:pivotFmt>
      <c:pivotFmt>
        <c:idx val="16"/>
        <c:spPr>
          <a:gradFill flip="none" rotWithShape="1">
            <a:gsLst>
              <a:gs pos="59000">
                <a:schemeClr val="accent2">
                  <a:lumMod val="74000"/>
                </a:schemeClr>
              </a:gs>
              <a:gs pos="83000">
                <a:schemeClr val="accent2">
                  <a:lumMod val="40000"/>
                  <a:lumOff val="60000"/>
                </a:schemeClr>
              </a:gs>
            </a:gsLst>
            <a:lin ang="2700000" scaled="1"/>
            <a:tileRect/>
          </a:gradFill>
          <a:ln>
            <a:noFill/>
          </a:ln>
          <a:effectLst/>
        </c:spPr>
      </c:pivotFmt>
      <c:pivotFmt>
        <c:idx val="17"/>
        <c:spPr>
          <a:gradFill flip="none" rotWithShape="1">
            <a:gsLst>
              <a:gs pos="59000">
                <a:schemeClr val="accent2">
                  <a:lumMod val="50000"/>
                </a:schemeClr>
              </a:gs>
              <a:gs pos="87000">
                <a:schemeClr val="accent2">
                  <a:lumMod val="40000"/>
                  <a:lumOff val="60000"/>
                </a:schemeClr>
              </a:gs>
            </a:gsLst>
            <a:lin ang="2700000" scaled="1"/>
            <a:tileRect/>
          </a:gradFill>
          <a:ln>
            <a:noFill/>
          </a:ln>
          <a:effectLst/>
        </c:spPr>
      </c:pivotFmt>
    </c:pivotFmts>
    <c:plotArea>
      <c:layout/>
      <c:barChart>
        <c:barDir val="bar"/>
        <c:grouping val="clustered"/>
        <c:varyColors val="0"/>
        <c:ser>
          <c:idx val="0"/>
          <c:order val="0"/>
          <c:tx>
            <c:strRef>
              <c:f>Pivot_Tables!$J$2</c:f>
              <c:strCache>
                <c:ptCount val="1"/>
                <c:pt idx="0">
                  <c:v>Total</c:v>
                </c:pt>
              </c:strCache>
            </c:strRef>
          </c:tx>
          <c:spPr>
            <a:gradFill flip="none" rotWithShape="1">
              <a:gsLst>
                <a:gs pos="31000">
                  <a:schemeClr val="accent2">
                    <a:lumMod val="60000"/>
                    <a:lumOff val="40000"/>
                  </a:schemeClr>
                </a:gs>
                <a:gs pos="83000">
                  <a:schemeClr val="accent2">
                    <a:lumMod val="40000"/>
                    <a:lumOff val="60000"/>
                  </a:schemeClr>
                </a:gs>
              </a:gsLst>
              <a:lin ang="2700000" scaled="1"/>
              <a:tileRect/>
            </a:gradFill>
            <a:ln>
              <a:noFill/>
            </a:ln>
            <a:effectLst/>
          </c:spPr>
          <c:invertIfNegative val="0"/>
          <c:dPt>
            <c:idx val="0"/>
            <c:invertIfNegative val="0"/>
            <c:bubble3D val="0"/>
            <c:spPr>
              <a:gradFill flip="none" rotWithShape="1">
                <a:gsLst>
                  <a:gs pos="59000">
                    <a:schemeClr val="accent2">
                      <a:lumMod val="20000"/>
                      <a:lumOff val="80000"/>
                    </a:schemeClr>
                  </a:gs>
                  <a:gs pos="83000">
                    <a:schemeClr val="accent2">
                      <a:lumMod val="60000"/>
                      <a:lumOff val="40000"/>
                    </a:schemeClr>
                  </a:gs>
                </a:gsLst>
                <a:lin ang="2700000" scaled="1"/>
                <a:tileRect/>
              </a:gradFill>
              <a:ln>
                <a:noFill/>
              </a:ln>
              <a:effectLst/>
            </c:spPr>
            <c:extLst>
              <c:ext xmlns:c16="http://schemas.microsoft.com/office/drawing/2014/chart" uri="{C3380CC4-5D6E-409C-BE32-E72D297353CC}">
                <c16:uniqueId val="{00000001-B5F1-48D3-99BE-2D9C4CE85154}"/>
              </c:ext>
            </c:extLst>
          </c:dPt>
          <c:dPt>
            <c:idx val="1"/>
            <c:invertIfNegative val="0"/>
            <c:bubble3D val="0"/>
            <c:spPr>
              <a:gradFill flip="none" rotWithShape="1">
                <a:gsLst>
                  <a:gs pos="59000">
                    <a:schemeClr val="accent2">
                      <a:lumMod val="40000"/>
                      <a:lumOff val="60000"/>
                    </a:schemeClr>
                  </a:gs>
                  <a:gs pos="83000">
                    <a:schemeClr val="accent2">
                      <a:lumMod val="75000"/>
                    </a:schemeClr>
                  </a:gs>
                </a:gsLst>
                <a:lin ang="2700000" scaled="1"/>
                <a:tileRect/>
              </a:gradFill>
              <a:ln>
                <a:noFill/>
              </a:ln>
              <a:effectLst/>
            </c:spPr>
            <c:extLst>
              <c:ext xmlns:c16="http://schemas.microsoft.com/office/drawing/2014/chart" uri="{C3380CC4-5D6E-409C-BE32-E72D297353CC}">
                <c16:uniqueId val="{00000003-B5F1-48D3-99BE-2D9C4CE85154}"/>
              </c:ext>
            </c:extLst>
          </c:dPt>
          <c:dPt>
            <c:idx val="2"/>
            <c:invertIfNegative val="0"/>
            <c:bubble3D val="0"/>
            <c:spPr>
              <a:gradFill flip="none" rotWithShape="1">
                <a:gsLst>
                  <a:gs pos="59000">
                    <a:schemeClr val="accent2">
                      <a:lumMod val="60000"/>
                      <a:lumOff val="40000"/>
                    </a:schemeClr>
                  </a:gs>
                  <a:gs pos="83000">
                    <a:schemeClr val="accent2">
                      <a:lumMod val="50000"/>
                    </a:schemeClr>
                  </a:gs>
                </a:gsLst>
                <a:lin ang="2700000" scaled="1"/>
                <a:tileRect/>
              </a:gradFill>
              <a:ln>
                <a:noFill/>
              </a:ln>
              <a:effectLst/>
            </c:spPr>
            <c:extLst>
              <c:ext xmlns:c16="http://schemas.microsoft.com/office/drawing/2014/chart" uri="{C3380CC4-5D6E-409C-BE32-E72D297353CC}">
                <c16:uniqueId val="{00000005-B5F1-48D3-99BE-2D9C4CE85154}"/>
              </c:ext>
            </c:extLst>
          </c:dPt>
          <c:dPt>
            <c:idx val="3"/>
            <c:invertIfNegative val="0"/>
            <c:bubble3D val="0"/>
            <c:spPr>
              <a:gradFill flip="none" rotWithShape="1">
                <a:gsLst>
                  <a:gs pos="59000">
                    <a:schemeClr val="accent2">
                      <a:lumMod val="74000"/>
                    </a:schemeClr>
                  </a:gs>
                  <a:gs pos="83000">
                    <a:schemeClr val="accent2">
                      <a:lumMod val="40000"/>
                      <a:lumOff val="60000"/>
                    </a:schemeClr>
                  </a:gs>
                </a:gsLst>
                <a:lin ang="2700000" scaled="1"/>
                <a:tileRect/>
              </a:gradFill>
              <a:ln>
                <a:noFill/>
              </a:ln>
              <a:effectLst/>
            </c:spPr>
            <c:extLst>
              <c:ext xmlns:c16="http://schemas.microsoft.com/office/drawing/2014/chart" uri="{C3380CC4-5D6E-409C-BE32-E72D297353CC}">
                <c16:uniqueId val="{00000007-B5F1-48D3-99BE-2D9C4CE85154}"/>
              </c:ext>
            </c:extLst>
          </c:dPt>
          <c:dPt>
            <c:idx val="4"/>
            <c:invertIfNegative val="0"/>
            <c:bubble3D val="0"/>
            <c:spPr>
              <a:gradFill flip="none" rotWithShape="1">
                <a:gsLst>
                  <a:gs pos="59000">
                    <a:schemeClr val="accent2">
                      <a:lumMod val="50000"/>
                    </a:schemeClr>
                  </a:gs>
                  <a:gs pos="87000">
                    <a:schemeClr val="accent2">
                      <a:lumMod val="40000"/>
                      <a:lumOff val="60000"/>
                    </a:schemeClr>
                  </a:gs>
                </a:gsLst>
                <a:lin ang="2700000" scaled="1"/>
                <a:tileRect/>
              </a:gradFill>
              <a:ln>
                <a:noFill/>
              </a:ln>
              <a:effectLst/>
            </c:spPr>
            <c:extLst>
              <c:ext xmlns:c16="http://schemas.microsoft.com/office/drawing/2014/chart" uri="{C3380CC4-5D6E-409C-BE32-E72D297353CC}">
                <c16:uniqueId val="{00000009-B5F1-48D3-99BE-2D9C4CE8515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Pivot_Tables!$I$3:$I$7</c:f>
              <c:strCache>
                <c:ptCount val="5"/>
                <c:pt idx="0">
                  <c:v>Michigan</c:v>
                </c:pt>
                <c:pt idx="1">
                  <c:v>Virginia</c:v>
                </c:pt>
                <c:pt idx="2">
                  <c:v>Washington</c:v>
                </c:pt>
                <c:pt idx="3">
                  <c:v>New York</c:v>
                </c:pt>
                <c:pt idx="4">
                  <c:v>California</c:v>
                </c:pt>
              </c:strCache>
            </c:strRef>
          </c:cat>
          <c:val>
            <c:numRef>
              <c:f>Pivot_Tables!$J$3:$J$7</c:f>
              <c:numCache>
                <c:formatCode>\$#,##0;\(\$#,##0\);\$#,##0</c:formatCode>
                <c:ptCount val="5"/>
                <c:pt idx="0">
                  <c:v>4675.5515999999998</c:v>
                </c:pt>
                <c:pt idx="1">
                  <c:v>5204.3265000000001</c:v>
                </c:pt>
                <c:pt idx="2">
                  <c:v>7488.0038000000004</c:v>
                </c:pt>
                <c:pt idx="3">
                  <c:v>10888.8179</c:v>
                </c:pt>
                <c:pt idx="4">
                  <c:v>12605.1469</c:v>
                </c:pt>
              </c:numCache>
            </c:numRef>
          </c:val>
          <c:extLst>
            <c:ext xmlns:c16="http://schemas.microsoft.com/office/drawing/2014/chart" uri="{C3380CC4-5D6E-409C-BE32-E72D297353CC}">
              <c16:uniqueId val="{00000018-D2BD-4A32-9129-9B6F7955D593}"/>
            </c:ext>
          </c:extLst>
        </c:ser>
        <c:dLbls>
          <c:dLblPos val="outEnd"/>
          <c:showLegendKey val="0"/>
          <c:showVal val="1"/>
          <c:showCatName val="0"/>
          <c:showSerName val="0"/>
          <c:showPercent val="0"/>
          <c:showBubbleSize val="0"/>
        </c:dLbls>
        <c:gapWidth val="182"/>
        <c:axId val="60966943"/>
        <c:axId val="60983743"/>
      </c:barChart>
      <c:catAx>
        <c:axId val="6096694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NG"/>
          </a:p>
        </c:txPr>
        <c:crossAx val="60983743"/>
        <c:crosses val="autoZero"/>
        <c:auto val="1"/>
        <c:lblAlgn val="ctr"/>
        <c:lblOffset val="100"/>
        <c:noMultiLvlLbl val="0"/>
      </c:catAx>
      <c:valAx>
        <c:axId val="60983743"/>
        <c:scaling>
          <c:orientation val="minMax"/>
        </c:scaling>
        <c:delete val="1"/>
        <c:axPos val="b"/>
        <c:numFmt formatCode="\$#,##0;\(\$#,##0\);\$#,##0" sourceLinked="1"/>
        <c:majorTickMark val="none"/>
        <c:minorTickMark val="none"/>
        <c:tickLblPos val="nextTo"/>
        <c:crossAx val="60966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[Bayan_Sales_Dashboard.xlsm]Pivot_Tables!Lowest Profit by States</c:name>
    <c:fmtId val="4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b="1">
                <a:solidFill>
                  <a:srgbClr val="C00000"/>
                </a:solidFill>
                <a:latin typeface="Times New Roman" panose="02020603050405020304" pitchFamily="18" charset="0"/>
                <a:cs typeface="Times New Roman" panose="02020603050405020304" pitchFamily="18" charset="0"/>
              </a:rPr>
              <a:t>Profit By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2">
                  <a:lumMod val="50000"/>
                </a:schemeClr>
              </a:gs>
              <a:gs pos="74000">
                <a:srgbClr val="FF0000"/>
              </a:gs>
            </a:gsLst>
            <a:lin ang="27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2">
                  <a:lumMod val="50000"/>
                </a:schemeClr>
              </a:gs>
              <a:gs pos="74000">
                <a:srgbClr val="FF0000"/>
              </a:gs>
            </a:gsLst>
            <a:lin ang="2700000" scaled="0"/>
          </a:gradFill>
          <a:ln>
            <a:noFill/>
          </a:ln>
          <a:effectLst/>
        </c:spPr>
      </c:pivotFmt>
      <c:pivotFmt>
        <c:idx val="4"/>
        <c:spPr>
          <a:gradFill>
            <a:gsLst>
              <a:gs pos="0">
                <a:schemeClr val="accent2">
                  <a:lumMod val="50000"/>
                </a:schemeClr>
              </a:gs>
              <a:gs pos="74000">
                <a:srgbClr val="FF0000"/>
              </a:gs>
            </a:gsLst>
            <a:lin ang="2700000" scaled="0"/>
          </a:gradFill>
          <a:ln>
            <a:noFill/>
          </a:ln>
          <a:effectLst/>
        </c:spPr>
      </c:pivotFmt>
      <c:pivotFmt>
        <c:idx val="5"/>
        <c:spPr>
          <a:gradFill>
            <a:gsLst>
              <a:gs pos="0">
                <a:schemeClr val="accent2">
                  <a:lumMod val="50000"/>
                </a:schemeClr>
              </a:gs>
              <a:gs pos="74000">
                <a:srgbClr val="FF0000"/>
              </a:gs>
            </a:gsLst>
            <a:lin ang="2700000" scaled="0"/>
          </a:gradFill>
          <a:ln>
            <a:noFill/>
          </a:ln>
          <a:effectLst/>
        </c:spPr>
      </c:pivotFmt>
      <c:pivotFmt>
        <c:idx val="6"/>
        <c:spPr>
          <a:gradFill>
            <a:gsLst>
              <a:gs pos="0">
                <a:schemeClr val="accent2">
                  <a:lumMod val="50000"/>
                </a:schemeClr>
              </a:gs>
              <a:gs pos="74000">
                <a:srgbClr val="FF0000"/>
              </a:gs>
            </a:gsLst>
            <a:lin ang="2700000" scaled="0"/>
          </a:gradFill>
          <a:ln>
            <a:noFill/>
          </a:ln>
          <a:effectLst/>
        </c:spPr>
      </c:pivotFmt>
      <c:pivotFmt>
        <c:idx val="7"/>
        <c:spPr>
          <a:gradFill>
            <a:gsLst>
              <a:gs pos="0">
                <a:schemeClr val="accent2">
                  <a:lumMod val="50000"/>
                </a:schemeClr>
              </a:gs>
              <a:gs pos="74000">
                <a:srgbClr val="FF0000"/>
              </a:gs>
            </a:gsLst>
            <a:lin ang="2700000" scaled="0"/>
          </a:gradFill>
          <a:ln>
            <a:noFill/>
          </a:ln>
          <a:effectLst/>
        </c:spPr>
      </c:pivotFmt>
      <c:pivotFmt>
        <c:idx val="8"/>
        <c:spPr>
          <a:gradFill>
            <a:gsLst>
              <a:gs pos="0">
                <a:schemeClr val="accent2">
                  <a:lumMod val="50000"/>
                </a:schemeClr>
              </a:gs>
              <a:gs pos="74000">
                <a:srgbClr val="FF0000"/>
              </a:gs>
            </a:gsLst>
            <a:lin ang="27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0">
                <a:schemeClr val="accent2">
                  <a:lumMod val="50000"/>
                </a:schemeClr>
              </a:gs>
              <a:gs pos="74000">
                <a:srgbClr val="FF0000"/>
              </a:gs>
            </a:gsLst>
            <a:lin ang="2700000" scaled="0"/>
          </a:gradFill>
          <a:ln>
            <a:noFill/>
          </a:ln>
          <a:effectLst/>
        </c:spPr>
      </c:pivotFmt>
      <c:pivotFmt>
        <c:idx val="10"/>
        <c:spPr>
          <a:gradFill>
            <a:gsLst>
              <a:gs pos="0">
                <a:schemeClr val="accent2">
                  <a:lumMod val="50000"/>
                </a:schemeClr>
              </a:gs>
              <a:gs pos="74000">
                <a:srgbClr val="FF0000"/>
              </a:gs>
            </a:gsLst>
            <a:lin ang="2700000" scaled="0"/>
          </a:gradFill>
          <a:ln>
            <a:noFill/>
          </a:ln>
          <a:effectLst/>
        </c:spPr>
      </c:pivotFmt>
      <c:pivotFmt>
        <c:idx val="11"/>
        <c:spPr>
          <a:gradFill>
            <a:gsLst>
              <a:gs pos="0">
                <a:schemeClr val="accent2">
                  <a:lumMod val="50000"/>
                </a:schemeClr>
              </a:gs>
              <a:gs pos="74000">
                <a:srgbClr val="FF0000"/>
              </a:gs>
            </a:gsLst>
            <a:lin ang="2700000" scaled="0"/>
          </a:gradFill>
          <a:ln>
            <a:noFill/>
          </a:ln>
          <a:effectLst/>
        </c:spPr>
      </c:pivotFmt>
      <c:pivotFmt>
        <c:idx val="12"/>
        <c:spPr>
          <a:gradFill>
            <a:gsLst>
              <a:gs pos="0">
                <a:schemeClr val="accent2">
                  <a:lumMod val="50000"/>
                </a:schemeClr>
              </a:gs>
              <a:gs pos="74000">
                <a:srgbClr val="FF0000"/>
              </a:gs>
            </a:gsLst>
            <a:lin ang="2700000" scaled="0"/>
          </a:gradFill>
          <a:ln>
            <a:noFill/>
          </a:ln>
          <a:effectLst/>
        </c:spPr>
      </c:pivotFmt>
      <c:pivotFmt>
        <c:idx val="13"/>
        <c:spPr>
          <a:gradFill>
            <a:gsLst>
              <a:gs pos="0">
                <a:schemeClr val="accent2">
                  <a:lumMod val="50000"/>
                </a:schemeClr>
              </a:gs>
              <a:gs pos="74000">
                <a:srgbClr val="FF0000"/>
              </a:gs>
            </a:gsLst>
            <a:lin ang="2700000" scaled="0"/>
          </a:gradFill>
          <a:ln>
            <a:noFill/>
          </a:ln>
          <a:effectLst/>
        </c:spPr>
      </c:pivotFmt>
      <c:pivotFmt>
        <c:idx val="14"/>
        <c:spPr>
          <a:gradFill>
            <a:gsLst>
              <a:gs pos="0">
                <a:schemeClr val="accent2">
                  <a:lumMod val="50000"/>
                </a:schemeClr>
              </a:gs>
              <a:gs pos="74000">
                <a:srgbClr val="FF0000"/>
              </a:gs>
            </a:gsLst>
            <a:lin ang="27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a:gsLst>
              <a:gs pos="0">
                <a:schemeClr val="accent2">
                  <a:lumMod val="50000"/>
                </a:schemeClr>
              </a:gs>
              <a:gs pos="74000">
                <a:srgbClr val="FF0000"/>
              </a:gs>
            </a:gsLst>
            <a:lin ang="2700000" scaled="0"/>
          </a:gradFill>
          <a:ln>
            <a:noFill/>
          </a:ln>
          <a:effectLst/>
        </c:spPr>
      </c:pivotFmt>
      <c:pivotFmt>
        <c:idx val="16"/>
        <c:spPr>
          <a:gradFill>
            <a:gsLst>
              <a:gs pos="0">
                <a:schemeClr val="accent2">
                  <a:lumMod val="50000"/>
                </a:schemeClr>
              </a:gs>
              <a:gs pos="74000">
                <a:srgbClr val="FF0000"/>
              </a:gs>
            </a:gsLst>
            <a:lin ang="2700000" scaled="0"/>
          </a:gradFill>
          <a:ln>
            <a:noFill/>
          </a:ln>
          <a:effectLst/>
        </c:spPr>
      </c:pivotFmt>
      <c:pivotFmt>
        <c:idx val="17"/>
        <c:spPr>
          <a:gradFill>
            <a:gsLst>
              <a:gs pos="0">
                <a:schemeClr val="accent2">
                  <a:lumMod val="50000"/>
                </a:schemeClr>
              </a:gs>
              <a:gs pos="74000">
                <a:srgbClr val="FF0000"/>
              </a:gs>
            </a:gsLst>
            <a:lin ang="2700000" scaled="0"/>
          </a:gradFill>
          <a:ln>
            <a:noFill/>
          </a:ln>
          <a:effectLst/>
        </c:spPr>
      </c:pivotFmt>
      <c:pivotFmt>
        <c:idx val="18"/>
        <c:spPr>
          <a:gradFill>
            <a:gsLst>
              <a:gs pos="0">
                <a:schemeClr val="accent2">
                  <a:lumMod val="50000"/>
                </a:schemeClr>
              </a:gs>
              <a:gs pos="74000">
                <a:srgbClr val="FF0000"/>
              </a:gs>
            </a:gsLst>
            <a:lin ang="2700000" scaled="0"/>
          </a:gradFill>
          <a:ln>
            <a:noFill/>
          </a:ln>
          <a:effectLst/>
        </c:spPr>
      </c:pivotFmt>
      <c:pivotFmt>
        <c:idx val="19"/>
        <c:spPr>
          <a:gradFill>
            <a:gsLst>
              <a:gs pos="0">
                <a:schemeClr val="accent2">
                  <a:lumMod val="50000"/>
                </a:schemeClr>
              </a:gs>
              <a:gs pos="74000">
                <a:srgbClr val="FF0000"/>
              </a:gs>
            </a:gsLst>
            <a:lin ang="2700000" scaled="0"/>
          </a:gradFill>
          <a:ln>
            <a:noFill/>
          </a:ln>
          <a:effectLst/>
        </c:spPr>
      </c:pivotFmt>
      <c:pivotFmt>
        <c:idx val="20"/>
        <c:spPr>
          <a:gradFill>
            <a:gsLst>
              <a:gs pos="0">
                <a:schemeClr val="accent2">
                  <a:lumMod val="50000"/>
                </a:schemeClr>
              </a:gs>
              <a:gs pos="74000">
                <a:srgbClr val="FF0000"/>
              </a:gs>
            </a:gsLst>
            <a:lin ang="2700000" scaled="0"/>
          </a:gradFill>
          <a:ln>
            <a:noFill/>
          </a:ln>
          <a:effectLst/>
        </c:spPr>
      </c:pivotFmt>
      <c:pivotFmt>
        <c:idx val="21"/>
        <c:spPr>
          <a:gradFill>
            <a:gsLst>
              <a:gs pos="0">
                <a:schemeClr val="accent2">
                  <a:lumMod val="50000"/>
                </a:schemeClr>
              </a:gs>
              <a:gs pos="74000">
                <a:srgbClr val="FF0000"/>
              </a:gs>
            </a:gsLst>
            <a:lin ang="2700000" scaled="0"/>
          </a:gradFill>
          <a:ln>
            <a:noFill/>
          </a:ln>
          <a:effectLst/>
        </c:spPr>
      </c:pivotFmt>
      <c:pivotFmt>
        <c:idx val="22"/>
        <c:spPr>
          <a:gradFill>
            <a:gsLst>
              <a:gs pos="0">
                <a:schemeClr val="accent2">
                  <a:lumMod val="50000"/>
                </a:schemeClr>
              </a:gs>
              <a:gs pos="74000">
                <a:srgbClr val="FF0000"/>
              </a:gs>
            </a:gsLst>
            <a:lin ang="2700000" scaled="0"/>
          </a:gradFill>
          <a:ln>
            <a:noFill/>
          </a:ln>
          <a:effectLst/>
        </c:spPr>
      </c:pivotFmt>
      <c:pivotFmt>
        <c:idx val="23"/>
        <c:spPr>
          <a:gradFill>
            <a:gsLst>
              <a:gs pos="0">
                <a:schemeClr val="accent2">
                  <a:lumMod val="50000"/>
                </a:schemeClr>
              </a:gs>
              <a:gs pos="74000">
                <a:srgbClr val="FF0000"/>
              </a:gs>
            </a:gsLst>
            <a:lin ang="2700000" scaled="0"/>
          </a:gradFill>
          <a:ln>
            <a:noFill/>
          </a:ln>
          <a:effectLst/>
        </c:spPr>
      </c:pivotFmt>
      <c:pivotFmt>
        <c:idx val="24"/>
        <c:spPr>
          <a:gradFill>
            <a:gsLst>
              <a:gs pos="0">
                <a:schemeClr val="accent2">
                  <a:lumMod val="50000"/>
                </a:schemeClr>
              </a:gs>
              <a:gs pos="74000">
                <a:srgbClr val="FF0000"/>
              </a:gs>
            </a:gsLst>
            <a:lin ang="2700000" scaled="0"/>
          </a:gradFill>
          <a:ln>
            <a:noFill/>
          </a:ln>
          <a:effectLst/>
        </c:spPr>
      </c:pivotFmt>
      <c:pivotFmt>
        <c:idx val="25"/>
        <c:spPr>
          <a:gradFill>
            <a:gsLst>
              <a:gs pos="0">
                <a:schemeClr val="accent2">
                  <a:lumMod val="50000"/>
                </a:schemeClr>
              </a:gs>
              <a:gs pos="74000">
                <a:srgbClr val="FF0000"/>
              </a:gs>
            </a:gsLst>
            <a:lin ang="2700000" scaled="0"/>
          </a:gradFill>
          <a:ln>
            <a:noFill/>
          </a:ln>
          <a:effectLst/>
        </c:spPr>
      </c:pivotFmt>
      <c:pivotFmt>
        <c:idx val="26"/>
        <c:spPr>
          <a:gradFill>
            <a:gsLst>
              <a:gs pos="0">
                <a:schemeClr val="accent2">
                  <a:lumMod val="50000"/>
                </a:schemeClr>
              </a:gs>
              <a:gs pos="74000">
                <a:srgbClr val="FF0000"/>
              </a:gs>
            </a:gsLst>
            <a:lin ang="2700000" scaled="0"/>
          </a:gradFill>
          <a:ln>
            <a:noFill/>
          </a:ln>
          <a:effectLst/>
        </c:spPr>
      </c:pivotFmt>
    </c:pivotFmts>
    <c:plotArea>
      <c:layout/>
      <c:barChart>
        <c:barDir val="bar"/>
        <c:grouping val="clustered"/>
        <c:varyColors val="1"/>
        <c:ser>
          <c:idx val="0"/>
          <c:order val="0"/>
          <c:tx>
            <c:strRef>
              <c:f>Pivot_Tables!$M$2</c:f>
              <c:strCache>
                <c:ptCount val="1"/>
                <c:pt idx="0">
                  <c:v>Total</c:v>
                </c:pt>
              </c:strCache>
            </c:strRef>
          </c:tx>
          <c:spPr>
            <a:gradFill>
              <a:gsLst>
                <a:gs pos="0">
                  <a:schemeClr val="accent2">
                    <a:lumMod val="50000"/>
                  </a:schemeClr>
                </a:gs>
                <a:gs pos="74000">
                  <a:srgbClr val="FF0000"/>
                </a:gs>
              </a:gsLst>
              <a:lin ang="2700000" scaled="0"/>
            </a:gradFill>
            <a:ln>
              <a:noFill/>
            </a:ln>
          </c:spPr>
          <c:invertIfNegative val="0"/>
          <c:dPt>
            <c:idx val="0"/>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1-E18B-4E8E-8E8D-8E1F963C9033}"/>
              </c:ext>
            </c:extLst>
          </c:dPt>
          <c:dPt>
            <c:idx val="1"/>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3-E18B-4E8E-8E8D-8E1F963C9033}"/>
              </c:ext>
            </c:extLst>
          </c:dPt>
          <c:dPt>
            <c:idx val="2"/>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5-E18B-4E8E-8E8D-8E1F963C9033}"/>
              </c:ext>
            </c:extLst>
          </c:dPt>
          <c:dPt>
            <c:idx val="3"/>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7-E18B-4E8E-8E8D-8E1F963C9033}"/>
              </c:ext>
            </c:extLst>
          </c:dPt>
          <c:dPt>
            <c:idx val="4"/>
            <c:invertIfNegative val="0"/>
            <c:bubble3D val="0"/>
            <c:spPr>
              <a:gradFill>
                <a:gsLst>
                  <a:gs pos="0">
                    <a:schemeClr val="accent2">
                      <a:lumMod val="50000"/>
                    </a:schemeClr>
                  </a:gs>
                  <a:gs pos="74000">
                    <a:srgbClr val="FF0000"/>
                  </a:gs>
                </a:gsLst>
                <a:lin ang="2700000" scaled="0"/>
              </a:gradFill>
              <a:ln>
                <a:noFill/>
              </a:ln>
              <a:effectLst/>
            </c:spPr>
            <c:extLst>
              <c:ext xmlns:c16="http://schemas.microsoft.com/office/drawing/2014/chart" uri="{C3380CC4-5D6E-409C-BE32-E72D297353CC}">
                <c16:uniqueId val="{00000009-E18B-4E8E-8E8D-8E1F963C903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Pivot_Tables!$L$3:$L$7</c:f>
              <c:strCache>
                <c:ptCount val="5"/>
                <c:pt idx="0">
                  <c:v>Montana</c:v>
                </c:pt>
                <c:pt idx="1">
                  <c:v>Maine</c:v>
                </c:pt>
                <c:pt idx="2">
                  <c:v>Kansas</c:v>
                </c:pt>
                <c:pt idx="3">
                  <c:v>Texas</c:v>
                </c:pt>
                <c:pt idx="4">
                  <c:v>South Dakota</c:v>
                </c:pt>
              </c:strCache>
            </c:strRef>
          </c:cat>
          <c:val>
            <c:numRef>
              <c:f>Pivot_Tables!$M$3:$M$7</c:f>
              <c:numCache>
                <c:formatCode>\$#,##0;\(\$#,##0\);\$#,##0</c:formatCode>
                <c:ptCount val="5"/>
                <c:pt idx="0">
                  <c:v>21.7532</c:v>
                </c:pt>
                <c:pt idx="1">
                  <c:v>33.938800000000001</c:v>
                </c:pt>
                <c:pt idx="2">
                  <c:v>36.9696</c:v>
                </c:pt>
                <c:pt idx="3">
                  <c:v>41.933999999999997</c:v>
                </c:pt>
                <c:pt idx="4">
                  <c:v>67.189800000000005</c:v>
                </c:pt>
              </c:numCache>
            </c:numRef>
          </c:val>
          <c:extLst>
            <c:ext xmlns:c16="http://schemas.microsoft.com/office/drawing/2014/chart" uri="{C3380CC4-5D6E-409C-BE32-E72D297353CC}">
              <c16:uniqueId val="{0000000A-E18B-4E8E-8E8D-8E1F963C9033}"/>
            </c:ext>
          </c:extLst>
        </c:ser>
        <c:dLbls>
          <c:dLblPos val="outEnd"/>
          <c:showLegendKey val="0"/>
          <c:showVal val="1"/>
          <c:showCatName val="0"/>
          <c:showSerName val="0"/>
          <c:showPercent val="0"/>
          <c:showBubbleSize val="0"/>
        </c:dLbls>
        <c:gapWidth val="182"/>
        <c:axId val="24727455"/>
        <c:axId val="24727935"/>
      </c:barChart>
      <c:catAx>
        <c:axId val="2472745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NG"/>
          </a:p>
        </c:txPr>
        <c:crossAx val="24727935"/>
        <c:crosses val="autoZero"/>
        <c:auto val="1"/>
        <c:lblAlgn val="ctr"/>
        <c:lblOffset val="100"/>
        <c:noMultiLvlLbl val="0"/>
      </c:catAx>
      <c:valAx>
        <c:axId val="24727935"/>
        <c:scaling>
          <c:orientation val="minMax"/>
        </c:scaling>
        <c:delete val="1"/>
        <c:axPos val="b"/>
        <c:numFmt formatCode="\$#,##0;\(\$#,##0\);\$#,##0" sourceLinked="1"/>
        <c:majorTickMark val="none"/>
        <c:minorTickMark val="none"/>
        <c:tickLblPos val="nextTo"/>
        <c:crossAx val="24727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215052039065384"/>
          <c:y val="0.1892155873675368"/>
          <c:w val="0.57094792886123447"/>
          <c:h val="0.73301475599185506"/>
        </c:manualLayout>
      </c:layout>
      <c:doughnutChart>
        <c:varyColors val="1"/>
        <c:ser>
          <c:idx val="0"/>
          <c:order val="0"/>
          <c:spPr>
            <a:ln w="9525">
              <a:solidFill>
                <a:schemeClr val="accent1"/>
              </a:solidFill>
            </a:ln>
            <a:effectLst>
              <a:glow rad="63500">
                <a:schemeClr val="accent1">
                  <a:alpha val="40000"/>
                </a:schemeClr>
              </a:glow>
            </a:effectLst>
          </c:spPr>
          <c:dPt>
            <c:idx val="0"/>
            <c:bubble3D val="0"/>
            <c:spPr>
              <a:solidFill>
                <a:schemeClr val="accent6">
                  <a:lumMod val="20000"/>
                  <a:lumOff val="80000"/>
                </a:schemeClr>
              </a:solidFill>
              <a:ln w="9525">
                <a:solidFill>
                  <a:schemeClr val="accent1"/>
                </a:solidFill>
              </a:ln>
              <a:effectLst>
                <a:glow rad="63500">
                  <a:schemeClr val="accent1">
                    <a:alpha val="40000"/>
                  </a:schemeClr>
                </a:glow>
              </a:effectLst>
            </c:spPr>
            <c:extLst>
              <c:ext xmlns:c16="http://schemas.microsoft.com/office/drawing/2014/chart" uri="{C3380CC4-5D6E-409C-BE32-E72D297353CC}">
                <c16:uniqueId val="{00000001-ED0C-45ED-B627-17C5441E7FD3}"/>
              </c:ext>
            </c:extLst>
          </c:dPt>
          <c:dPt>
            <c:idx val="1"/>
            <c:bubble3D val="0"/>
            <c:spPr>
              <a:solidFill>
                <a:schemeClr val="accent6">
                  <a:lumMod val="60000"/>
                  <a:lumOff val="40000"/>
                </a:schemeClr>
              </a:solidFill>
              <a:ln w="9525">
                <a:solidFill>
                  <a:schemeClr val="accent1"/>
                </a:solidFill>
              </a:ln>
              <a:effectLst>
                <a:glow rad="63500">
                  <a:schemeClr val="accent1">
                    <a:alpha val="40000"/>
                  </a:schemeClr>
                </a:glow>
              </a:effectLst>
            </c:spPr>
            <c:extLst>
              <c:ext xmlns:c16="http://schemas.microsoft.com/office/drawing/2014/chart" uri="{C3380CC4-5D6E-409C-BE32-E72D297353CC}">
                <c16:uniqueId val="{00000003-ED0C-45ED-B627-17C5441E7FD3}"/>
              </c:ext>
            </c:extLst>
          </c:dPt>
          <c:dPt>
            <c:idx val="2"/>
            <c:bubble3D val="0"/>
            <c:spPr>
              <a:solidFill>
                <a:schemeClr val="accent6">
                  <a:lumMod val="50000"/>
                </a:schemeClr>
              </a:solidFill>
              <a:ln w="9525">
                <a:solidFill>
                  <a:schemeClr val="accent1"/>
                </a:solidFill>
              </a:ln>
              <a:effectLst>
                <a:glow rad="63500">
                  <a:schemeClr val="accent1">
                    <a:alpha val="40000"/>
                  </a:schemeClr>
                </a:glow>
              </a:effectLst>
            </c:spPr>
            <c:extLst>
              <c:ext xmlns:c16="http://schemas.microsoft.com/office/drawing/2014/chart" uri="{C3380CC4-5D6E-409C-BE32-E72D297353CC}">
                <c16:uniqueId val="{00000005-ED0C-45ED-B627-17C5441E7FD3}"/>
              </c:ext>
            </c:extLst>
          </c:dPt>
          <c:dPt>
            <c:idx val="3"/>
            <c:bubble3D val="0"/>
            <c:spPr>
              <a:solidFill>
                <a:srgbClr val="FF0000"/>
              </a:solidFill>
              <a:ln w="9525">
                <a:solidFill>
                  <a:schemeClr val="accent1"/>
                </a:solidFill>
              </a:ln>
              <a:effectLst>
                <a:glow rad="63500">
                  <a:schemeClr val="accent1">
                    <a:alpha val="40000"/>
                  </a:schemeClr>
                </a:glow>
              </a:effectLst>
            </c:spPr>
            <c:extLst>
              <c:ext xmlns:c16="http://schemas.microsoft.com/office/drawing/2014/chart" uri="{C3380CC4-5D6E-409C-BE32-E72D297353CC}">
                <c16:uniqueId val="{00000007-ED0C-45ED-B627-17C5441E7FD3}"/>
              </c:ext>
            </c:extLst>
          </c:dPt>
          <c:dPt>
            <c:idx val="4"/>
            <c:bubble3D val="0"/>
            <c:spPr>
              <a:noFill/>
              <a:ln w="9525">
                <a:noFill/>
              </a:ln>
              <a:effectLst>
                <a:glow rad="63500">
                  <a:schemeClr val="accent1">
                    <a:alpha val="40000"/>
                  </a:schemeClr>
                </a:glow>
              </a:effectLst>
            </c:spPr>
            <c:extLst>
              <c:ext xmlns:c16="http://schemas.microsoft.com/office/drawing/2014/chart" uri="{C3380CC4-5D6E-409C-BE32-E72D297353CC}">
                <c16:uniqueId val="{00000009-ED0C-45ED-B627-17C5441E7FD3}"/>
              </c:ext>
            </c:extLst>
          </c:dPt>
          <c:cat>
            <c:strRef>
              <c:f>Pivot_Tables_Performance!$F$42:$F$46</c:f>
              <c:strCache>
                <c:ptCount val="5"/>
                <c:pt idx="0">
                  <c:v>Red</c:v>
                </c:pt>
                <c:pt idx="1">
                  <c:v>Blue</c:v>
                </c:pt>
                <c:pt idx="2">
                  <c:v>Orange </c:v>
                </c:pt>
                <c:pt idx="3">
                  <c:v>green</c:v>
                </c:pt>
                <c:pt idx="4">
                  <c:v>Omitted</c:v>
                </c:pt>
              </c:strCache>
            </c:strRef>
          </c:cat>
          <c:val>
            <c:numRef>
              <c:f>Pivot_Tables_Performance!$G$42:$G$46</c:f>
              <c:numCache>
                <c:formatCode>General</c:formatCode>
                <c:ptCount val="5"/>
                <c:pt idx="0">
                  <c:v>20</c:v>
                </c:pt>
                <c:pt idx="1">
                  <c:v>30</c:v>
                </c:pt>
                <c:pt idx="2">
                  <c:v>30</c:v>
                </c:pt>
                <c:pt idx="3">
                  <c:v>20</c:v>
                </c:pt>
                <c:pt idx="4">
                  <c:v>100</c:v>
                </c:pt>
              </c:numCache>
            </c:numRef>
          </c:val>
          <c:extLst>
            <c:ext xmlns:c16="http://schemas.microsoft.com/office/drawing/2014/chart" uri="{C3380CC4-5D6E-409C-BE32-E72D297353CC}">
              <c16:uniqueId val="{0000000A-ED0C-45ED-B627-17C5441E7FD3}"/>
            </c:ext>
          </c:extLst>
        </c:ser>
        <c:ser>
          <c:idx val="1"/>
          <c:order val="1"/>
          <c:spPr>
            <a:ln w="9525">
              <a:noFill/>
            </a:ln>
            <a:effectLst>
              <a:glow rad="63500">
                <a:schemeClr val="accent1">
                  <a:alpha val="40000"/>
                </a:schemeClr>
              </a:glow>
            </a:effectLst>
          </c:spPr>
          <c:dPt>
            <c:idx val="0"/>
            <c:bubble3D val="0"/>
            <c:spPr>
              <a:solidFill>
                <a:schemeClr val="accent2">
                  <a:shade val="41000"/>
                </a:schemeClr>
              </a:solidFill>
              <a:ln w="9525">
                <a:noFill/>
              </a:ln>
              <a:effectLst>
                <a:glow rad="63500">
                  <a:schemeClr val="accent1">
                    <a:alpha val="40000"/>
                  </a:schemeClr>
                </a:glow>
              </a:effectLst>
            </c:spPr>
            <c:extLst>
              <c:ext xmlns:c16="http://schemas.microsoft.com/office/drawing/2014/chart" uri="{C3380CC4-5D6E-409C-BE32-E72D297353CC}">
                <c16:uniqueId val="{0000000C-ED0C-45ED-B627-17C5441E7FD3}"/>
              </c:ext>
            </c:extLst>
          </c:dPt>
          <c:dPt>
            <c:idx val="1"/>
            <c:bubble3D val="0"/>
            <c:spPr>
              <a:solidFill>
                <a:schemeClr val="accent2">
                  <a:shade val="53000"/>
                </a:schemeClr>
              </a:solidFill>
              <a:ln w="9525">
                <a:noFill/>
              </a:ln>
              <a:effectLst>
                <a:glow rad="63500">
                  <a:schemeClr val="accent1">
                    <a:alpha val="40000"/>
                  </a:schemeClr>
                </a:glow>
              </a:effectLst>
            </c:spPr>
            <c:extLst>
              <c:ext xmlns:c16="http://schemas.microsoft.com/office/drawing/2014/chart" uri="{C3380CC4-5D6E-409C-BE32-E72D297353CC}">
                <c16:uniqueId val="{0000000E-ED0C-45ED-B627-17C5441E7FD3}"/>
              </c:ext>
            </c:extLst>
          </c:dPt>
          <c:dPt>
            <c:idx val="2"/>
            <c:bubble3D val="0"/>
            <c:spPr>
              <a:solidFill>
                <a:schemeClr val="accent2">
                  <a:shade val="65000"/>
                </a:schemeClr>
              </a:solidFill>
              <a:ln w="9525">
                <a:noFill/>
              </a:ln>
              <a:effectLst>
                <a:glow rad="63500">
                  <a:schemeClr val="accent1">
                    <a:alpha val="40000"/>
                  </a:schemeClr>
                </a:glow>
              </a:effectLst>
            </c:spPr>
            <c:extLst>
              <c:ext xmlns:c16="http://schemas.microsoft.com/office/drawing/2014/chart" uri="{C3380CC4-5D6E-409C-BE32-E72D297353CC}">
                <c16:uniqueId val="{00000010-ED0C-45ED-B627-17C5441E7FD3}"/>
              </c:ext>
            </c:extLst>
          </c:dPt>
          <c:dPt>
            <c:idx val="3"/>
            <c:bubble3D val="0"/>
            <c:spPr>
              <a:solidFill>
                <a:schemeClr val="accent2">
                  <a:shade val="76000"/>
                </a:schemeClr>
              </a:solidFill>
              <a:ln w="9525">
                <a:noFill/>
              </a:ln>
              <a:effectLst>
                <a:glow rad="63500">
                  <a:schemeClr val="accent1">
                    <a:alpha val="40000"/>
                  </a:schemeClr>
                </a:glow>
              </a:effectLst>
            </c:spPr>
            <c:extLst>
              <c:ext xmlns:c16="http://schemas.microsoft.com/office/drawing/2014/chart" uri="{C3380CC4-5D6E-409C-BE32-E72D297353CC}">
                <c16:uniqueId val="{00000012-ED0C-45ED-B627-17C5441E7FD3}"/>
              </c:ext>
            </c:extLst>
          </c:dPt>
          <c:dPt>
            <c:idx val="4"/>
            <c:bubble3D val="0"/>
            <c:spPr>
              <a:solidFill>
                <a:schemeClr val="accent2">
                  <a:shade val="88000"/>
                </a:schemeClr>
              </a:solidFill>
              <a:ln w="9525">
                <a:noFill/>
              </a:ln>
              <a:effectLst>
                <a:glow rad="63500">
                  <a:schemeClr val="accent1">
                    <a:alpha val="40000"/>
                  </a:schemeClr>
                </a:glow>
              </a:effectLst>
            </c:spPr>
            <c:extLst>
              <c:ext xmlns:c16="http://schemas.microsoft.com/office/drawing/2014/chart" uri="{C3380CC4-5D6E-409C-BE32-E72D297353CC}">
                <c16:uniqueId val="{00000014-ED0C-45ED-B627-17C5441E7FD3}"/>
              </c:ext>
            </c:extLst>
          </c:dPt>
          <c:dPt>
            <c:idx val="5"/>
            <c:bubble3D val="0"/>
            <c:spPr>
              <a:solidFill>
                <a:schemeClr val="accent2"/>
              </a:solidFill>
              <a:ln w="9525">
                <a:noFill/>
              </a:ln>
              <a:effectLst>
                <a:glow rad="63500">
                  <a:schemeClr val="accent1">
                    <a:alpha val="40000"/>
                  </a:schemeClr>
                </a:glow>
              </a:effectLst>
            </c:spPr>
            <c:extLst>
              <c:ext xmlns:c16="http://schemas.microsoft.com/office/drawing/2014/chart" uri="{C3380CC4-5D6E-409C-BE32-E72D297353CC}">
                <c16:uniqueId val="{00000016-ED0C-45ED-B627-17C5441E7FD3}"/>
              </c:ext>
            </c:extLst>
          </c:dPt>
          <c:dPt>
            <c:idx val="6"/>
            <c:bubble3D val="0"/>
            <c:spPr>
              <a:solidFill>
                <a:schemeClr val="accent2">
                  <a:tint val="89000"/>
                </a:schemeClr>
              </a:solidFill>
              <a:ln w="9525">
                <a:noFill/>
              </a:ln>
              <a:effectLst>
                <a:glow rad="63500">
                  <a:schemeClr val="accent1">
                    <a:alpha val="40000"/>
                  </a:schemeClr>
                </a:glow>
              </a:effectLst>
            </c:spPr>
            <c:extLst>
              <c:ext xmlns:c16="http://schemas.microsoft.com/office/drawing/2014/chart" uri="{C3380CC4-5D6E-409C-BE32-E72D297353CC}">
                <c16:uniqueId val="{00000018-ED0C-45ED-B627-17C5441E7FD3}"/>
              </c:ext>
            </c:extLst>
          </c:dPt>
          <c:dPt>
            <c:idx val="7"/>
            <c:bubble3D val="0"/>
            <c:spPr>
              <a:solidFill>
                <a:schemeClr val="accent2">
                  <a:tint val="77000"/>
                </a:schemeClr>
              </a:solidFill>
              <a:ln w="9525">
                <a:noFill/>
              </a:ln>
              <a:effectLst>
                <a:glow rad="63500">
                  <a:schemeClr val="accent1">
                    <a:alpha val="40000"/>
                  </a:schemeClr>
                </a:glow>
              </a:effectLst>
            </c:spPr>
            <c:extLst>
              <c:ext xmlns:c16="http://schemas.microsoft.com/office/drawing/2014/chart" uri="{C3380CC4-5D6E-409C-BE32-E72D297353CC}">
                <c16:uniqueId val="{0000001A-ED0C-45ED-B627-17C5441E7FD3}"/>
              </c:ext>
            </c:extLst>
          </c:dPt>
          <c:dPt>
            <c:idx val="8"/>
            <c:bubble3D val="0"/>
            <c:spPr>
              <a:solidFill>
                <a:schemeClr val="accent2">
                  <a:tint val="65000"/>
                </a:schemeClr>
              </a:solidFill>
              <a:ln w="9525">
                <a:noFill/>
              </a:ln>
              <a:effectLst>
                <a:glow rad="63500">
                  <a:schemeClr val="accent1">
                    <a:alpha val="40000"/>
                  </a:schemeClr>
                </a:glow>
              </a:effectLst>
            </c:spPr>
            <c:extLst>
              <c:ext xmlns:c16="http://schemas.microsoft.com/office/drawing/2014/chart" uri="{C3380CC4-5D6E-409C-BE32-E72D297353CC}">
                <c16:uniqueId val="{0000001C-ED0C-45ED-B627-17C5441E7FD3}"/>
              </c:ext>
            </c:extLst>
          </c:dPt>
          <c:dPt>
            <c:idx val="9"/>
            <c:bubble3D val="0"/>
            <c:spPr>
              <a:solidFill>
                <a:schemeClr val="accent2">
                  <a:tint val="54000"/>
                </a:schemeClr>
              </a:solidFill>
              <a:ln w="9525">
                <a:noFill/>
              </a:ln>
              <a:effectLst>
                <a:glow rad="63500">
                  <a:schemeClr val="accent1">
                    <a:alpha val="40000"/>
                  </a:schemeClr>
                </a:glow>
              </a:effectLst>
            </c:spPr>
            <c:extLst>
              <c:ext xmlns:c16="http://schemas.microsoft.com/office/drawing/2014/chart" uri="{C3380CC4-5D6E-409C-BE32-E72D297353CC}">
                <c16:uniqueId val="{0000001E-ED0C-45ED-B627-17C5441E7FD3}"/>
              </c:ext>
            </c:extLst>
          </c:dPt>
          <c:dPt>
            <c:idx val="10"/>
            <c:bubble3D val="0"/>
            <c:spPr>
              <a:noFill/>
              <a:ln w="9525">
                <a:noFill/>
              </a:ln>
              <a:effectLst>
                <a:glow rad="63500">
                  <a:schemeClr val="accent1">
                    <a:alpha val="40000"/>
                  </a:schemeClr>
                </a:glow>
              </a:effectLst>
            </c:spPr>
            <c:extLst>
              <c:ext xmlns:c16="http://schemas.microsoft.com/office/drawing/2014/chart" uri="{C3380CC4-5D6E-409C-BE32-E72D297353CC}">
                <c16:uniqueId val="{00000020-ED0C-45ED-B627-17C5441E7FD3}"/>
              </c:ext>
            </c:extLst>
          </c:dPt>
          <c:dLbls>
            <c:dLbl>
              <c:idx val="0"/>
              <c:layout>
                <c:manualLayout>
                  <c:x val="-7.9281876934425968E-2"/>
                  <c:y val="-8.1678234139933872E-2"/>
                </c:manualLayout>
              </c:layout>
              <c:tx>
                <c:rich>
                  <a:bodyPr/>
                  <a:lstStyle/>
                  <a:p>
                    <a:fld id="{3854EFD6-CBDC-409A-A99D-FD81A49ECAFB}"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ED0C-45ED-B627-17C5441E7FD3}"/>
                </c:ext>
              </c:extLst>
            </c:dLbl>
            <c:dLbl>
              <c:idx val="1"/>
              <c:layout>
                <c:manualLayout>
                  <c:x val="-4.7040159010914941E-2"/>
                  <c:y val="-9.7582464354117923E-2"/>
                </c:manualLayout>
              </c:layout>
              <c:tx>
                <c:rich>
                  <a:bodyPr/>
                  <a:lstStyle/>
                  <a:p>
                    <a:fld id="{62F87D8A-351F-43C0-A436-82769416E72F}"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ED0C-45ED-B627-17C5441E7FD3}"/>
                </c:ext>
              </c:extLst>
            </c:dLbl>
            <c:dLbl>
              <c:idx val="2"/>
              <c:layout>
                <c:manualLayout>
                  <c:x val="-2.25633048414773E-2"/>
                  <c:y val="-0.13090110994212489"/>
                </c:manualLayout>
              </c:layout>
              <c:tx>
                <c:rich>
                  <a:bodyPr/>
                  <a:lstStyle/>
                  <a:p>
                    <a:fld id="{BA85F5E4-9BA6-43A2-B556-CA42EBAF0B6F}"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ED0C-45ED-B627-17C5441E7FD3}"/>
                </c:ext>
              </c:extLst>
            </c:dLbl>
            <c:dLbl>
              <c:idx val="3"/>
              <c:layout>
                <c:manualLayout>
                  <c:x val="7.8329618166364644E-3"/>
                  <c:y val="-0.14136021955894676"/>
                </c:manualLayout>
              </c:layout>
              <c:tx>
                <c:rich>
                  <a:bodyPr/>
                  <a:lstStyle/>
                  <a:p>
                    <a:fld id="{3EEF7047-CF87-4A3D-B180-60A85A431E5B}"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ED0C-45ED-B627-17C5441E7FD3}"/>
                </c:ext>
              </c:extLst>
            </c:dLbl>
            <c:dLbl>
              <c:idx val="4"/>
              <c:layout>
                <c:manualLayout>
                  <c:x val="4.7273053094379215E-2"/>
                  <c:y val="-0.13980580974675463"/>
                </c:manualLayout>
              </c:layout>
              <c:tx>
                <c:rich>
                  <a:bodyPr/>
                  <a:lstStyle/>
                  <a:p>
                    <a:fld id="{089B4150-D17A-4F58-87C8-93513C97B743}"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ED0C-45ED-B627-17C5441E7FD3}"/>
                </c:ext>
              </c:extLst>
            </c:dLbl>
            <c:dLbl>
              <c:idx val="5"/>
              <c:layout>
                <c:manualLayout>
                  <c:x val="7.7085205719687175E-2"/>
                  <c:y val="-0.12258991274739306"/>
                </c:manualLayout>
              </c:layout>
              <c:tx>
                <c:rich>
                  <a:bodyPr/>
                  <a:lstStyle/>
                  <a:p>
                    <a:fld id="{D6793ED0-C151-4A9F-AF87-F9476E185F4A}"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ED0C-45ED-B627-17C5441E7FD3}"/>
                </c:ext>
              </c:extLst>
            </c:dLbl>
            <c:dLbl>
              <c:idx val="6"/>
              <c:layout>
                <c:manualLayout>
                  <c:x val="9.9736121769748803E-2"/>
                  <c:y val="-9.4311555650138337E-2"/>
                </c:manualLayout>
              </c:layout>
              <c:tx>
                <c:rich>
                  <a:bodyPr/>
                  <a:lstStyle/>
                  <a:p>
                    <a:fld id="{BA613AEB-B63D-4B78-A62D-E6AA0700DB26}"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ED0C-45ED-B627-17C5441E7FD3}"/>
                </c:ext>
              </c:extLst>
            </c:dLbl>
            <c:dLbl>
              <c:idx val="7"/>
              <c:layout>
                <c:manualLayout>
                  <c:x val="0.11818229074757275"/>
                  <c:y val="-6.5790593743349682E-2"/>
                </c:manualLayout>
              </c:layout>
              <c:tx>
                <c:rich>
                  <a:bodyPr/>
                  <a:lstStyle/>
                  <a:p>
                    <a:fld id="{F0D01F31-2597-4A0E-9D7B-EA47BA4A5866}"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ED0C-45ED-B627-17C5441E7FD3}"/>
                </c:ext>
              </c:extLst>
            </c:dLbl>
            <c:dLbl>
              <c:idx val="8"/>
              <c:layout>
                <c:manualLayout>
                  <c:x val="0.12221193977174327"/>
                  <c:y val="-1.2417535645882103E-2"/>
                </c:manualLayout>
              </c:layout>
              <c:tx>
                <c:rich>
                  <a:bodyPr/>
                  <a:lstStyle/>
                  <a:p>
                    <a:fld id="{4DAFDB8F-BDFF-4276-ADDD-3305D6881E60}"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ED0C-45ED-B627-17C5441E7FD3}"/>
                </c:ext>
              </c:extLst>
            </c:dLbl>
            <c:dLbl>
              <c:idx val="9"/>
              <c:layout>
                <c:manualLayout>
                  <c:x val="0.11656943085780265"/>
                  <c:y val="3.2024228898025739E-2"/>
                </c:manualLayout>
              </c:layout>
              <c:tx>
                <c:rich>
                  <a:bodyPr/>
                  <a:lstStyle/>
                  <a:p>
                    <a:fld id="{DF439D96-2117-4ED8-9FAD-874CC73F94C9}"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ED0C-45ED-B627-17C5441E7FD3}"/>
                </c:ext>
              </c:extLst>
            </c:dLbl>
            <c:dLbl>
              <c:idx val="10"/>
              <c:layout>
                <c:manualLayout>
                  <c:x val="-0.262886893590282"/>
                  <c:y val="-0.34001177991106446"/>
                </c:manualLayout>
              </c:layout>
              <c:tx>
                <c:rich>
                  <a:bodyPr/>
                  <a:lstStyle/>
                  <a:p>
                    <a:fld id="{4580F612-D4F8-4BAE-8DDE-B3BB463E096A}" type="CELLRANGE">
                      <a:rPr lang="en-US"/>
                      <a:pPr/>
                      <a:t>[CELLRANGE]</a:t>
                    </a:fld>
                    <a:endParaRPr lang="en-NG"/>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ED0C-45ED-B627-17C5441E7FD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NG"/>
              </a:p>
            </c:txPr>
            <c:showLegendKey val="0"/>
            <c:showVal val="0"/>
            <c:showCatName val="0"/>
            <c:showSerName val="0"/>
            <c:showPercent val="0"/>
            <c:showBubbleSize val="0"/>
            <c:showLeaderLines val="0"/>
            <c:extLst>
              <c:ext xmlns:c15="http://schemas.microsoft.com/office/drawing/2012/chart" uri="{CE6537A1-D6FC-4f65-9D91-7224C49458BB}">
                <c15:showDataLabelsRange val="1"/>
              </c:ext>
            </c:extLst>
          </c:dLbls>
          <c:cat>
            <c:strRef>
              <c:f>Pivot_Tables_Performance!$F$42:$F$46</c:f>
              <c:strCache>
                <c:ptCount val="5"/>
                <c:pt idx="0">
                  <c:v>Red</c:v>
                </c:pt>
                <c:pt idx="1">
                  <c:v>Blue</c:v>
                </c:pt>
                <c:pt idx="2">
                  <c:v>Orange </c:v>
                </c:pt>
                <c:pt idx="3">
                  <c:v>green</c:v>
                </c:pt>
                <c:pt idx="4">
                  <c:v>Omitted</c:v>
                </c:pt>
              </c:strCache>
            </c:strRef>
          </c:cat>
          <c:val>
            <c:numRef>
              <c:f>Pivot_Tables_Performance!$J$42:$J$52</c:f>
              <c:numCache>
                <c:formatCode>General</c:formatCode>
                <c:ptCount val="11"/>
                <c:pt idx="0">
                  <c:v>10</c:v>
                </c:pt>
                <c:pt idx="1">
                  <c:v>10</c:v>
                </c:pt>
                <c:pt idx="2">
                  <c:v>10</c:v>
                </c:pt>
                <c:pt idx="3">
                  <c:v>10</c:v>
                </c:pt>
                <c:pt idx="4">
                  <c:v>10</c:v>
                </c:pt>
                <c:pt idx="5">
                  <c:v>10</c:v>
                </c:pt>
                <c:pt idx="6">
                  <c:v>10</c:v>
                </c:pt>
                <c:pt idx="7">
                  <c:v>10</c:v>
                </c:pt>
                <c:pt idx="8">
                  <c:v>10</c:v>
                </c:pt>
                <c:pt idx="9">
                  <c:v>10</c:v>
                </c:pt>
                <c:pt idx="10">
                  <c:v>100</c:v>
                </c:pt>
              </c:numCache>
            </c:numRef>
          </c:val>
          <c:extLst>
            <c:ext xmlns:c15="http://schemas.microsoft.com/office/drawing/2012/chart" uri="{02D57815-91ED-43cb-92C2-25804820EDAC}">
              <c15:datalabelsRange>
                <c15:f>Pivot_Tables_Performance!$I$42:$I$52</c15:f>
                <c15:dlblRangeCache>
                  <c:ptCount val="11"/>
                  <c:pt idx="0">
                    <c:v>10</c:v>
                  </c:pt>
                  <c:pt idx="1">
                    <c:v>20</c:v>
                  </c:pt>
                  <c:pt idx="2">
                    <c:v>30</c:v>
                  </c:pt>
                  <c:pt idx="3">
                    <c:v>40</c:v>
                  </c:pt>
                  <c:pt idx="4">
                    <c:v>50</c:v>
                  </c:pt>
                  <c:pt idx="5">
                    <c:v>60</c:v>
                  </c:pt>
                  <c:pt idx="6">
                    <c:v>70</c:v>
                  </c:pt>
                  <c:pt idx="7">
                    <c:v>80</c:v>
                  </c:pt>
                  <c:pt idx="8">
                    <c:v>90</c:v>
                  </c:pt>
                  <c:pt idx="9">
                    <c:v>100</c:v>
                  </c:pt>
                  <c:pt idx="10">
                    <c:v>0</c:v>
                  </c:pt>
                </c15:dlblRangeCache>
              </c15:datalabelsRange>
            </c:ext>
            <c:ext xmlns:c16="http://schemas.microsoft.com/office/drawing/2014/chart" uri="{C3380CC4-5D6E-409C-BE32-E72D297353CC}">
              <c16:uniqueId val="{00000021-ED0C-45ED-B627-17C5441E7FD3}"/>
            </c:ext>
          </c:extLst>
        </c:ser>
        <c:dLbls>
          <c:showLegendKey val="0"/>
          <c:showVal val="0"/>
          <c:showCatName val="0"/>
          <c:showSerName val="0"/>
          <c:showPercent val="0"/>
          <c:showBubbleSize val="0"/>
          <c:showLeaderLines val="1"/>
        </c:dLbls>
        <c:firstSliceAng val="270"/>
        <c:holeSize val="45"/>
      </c:doughnutChart>
      <c:pieChart>
        <c:varyColors val="1"/>
        <c:ser>
          <c:idx val="2"/>
          <c:order val="2"/>
          <c:spPr>
            <a:solidFill>
              <a:schemeClr val="tx2">
                <a:lumMod val="25000"/>
                <a:lumOff val="75000"/>
              </a:schemeClr>
            </a:solidFill>
            <a:ln>
              <a:noFill/>
            </a:ln>
          </c:spPr>
          <c:explosion val="57"/>
          <c:dPt>
            <c:idx val="0"/>
            <c:bubble3D val="0"/>
            <c:explosion val="67"/>
            <c:spPr>
              <a:noFill/>
              <a:ln w="9525">
                <a:noFill/>
              </a:ln>
              <a:effectLst/>
            </c:spPr>
            <c:extLst>
              <c:ext xmlns:c16="http://schemas.microsoft.com/office/drawing/2014/chart" uri="{C3380CC4-5D6E-409C-BE32-E72D297353CC}">
                <c16:uniqueId val="{00000023-ED0C-45ED-B627-17C5441E7FD3}"/>
              </c:ext>
            </c:extLst>
          </c:dPt>
          <c:dPt>
            <c:idx val="1"/>
            <c:bubble3D val="0"/>
            <c:explosion val="79"/>
            <c:spPr>
              <a:solidFill>
                <a:schemeClr val="tx1"/>
              </a:solidFill>
              <a:ln w="19050">
                <a:solidFill>
                  <a:schemeClr val="lt1"/>
                </a:solidFill>
              </a:ln>
              <a:effectLst>
                <a:glow rad="63500">
                  <a:srgbClr val="FFFF00">
                    <a:alpha val="40000"/>
                  </a:srgbClr>
                </a:glow>
              </a:effectLst>
            </c:spPr>
            <c:extLst>
              <c:ext xmlns:c16="http://schemas.microsoft.com/office/drawing/2014/chart" uri="{C3380CC4-5D6E-409C-BE32-E72D297353CC}">
                <c16:uniqueId val="{00000025-ED0C-45ED-B627-17C5441E7FD3}"/>
              </c:ext>
            </c:extLst>
          </c:dPt>
          <c:dPt>
            <c:idx val="2"/>
            <c:bubble3D val="0"/>
            <c:spPr>
              <a:noFill/>
              <a:ln w="19050">
                <a:noFill/>
              </a:ln>
              <a:effectLst/>
            </c:spPr>
            <c:extLst>
              <c:ext xmlns:c16="http://schemas.microsoft.com/office/drawing/2014/chart" uri="{C3380CC4-5D6E-409C-BE32-E72D297353CC}">
                <c16:uniqueId val="{00000027-ED0C-45ED-B627-17C5441E7FD3}"/>
              </c:ext>
            </c:extLst>
          </c:dPt>
          <c:cat>
            <c:strRef>
              <c:f>Pivot_Tables_Performance!$F$42:$F$46</c:f>
              <c:strCache>
                <c:ptCount val="5"/>
                <c:pt idx="0">
                  <c:v>Red</c:v>
                </c:pt>
                <c:pt idx="1">
                  <c:v>Blue</c:v>
                </c:pt>
                <c:pt idx="2">
                  <c:v>Orange </c:v>
                </c:pt>
                <c:pt idx="3">
                  <c:v>green</c:v>
                </c:pt>
                <c:pt idx="4">
                  <c:v>Omitted</c:v>
                </c:pt>
              </c:strCache>
            </c:strRef>
          </c:cat>
          <c:val>
            <c:numRef>
              <c:f>Pivot_Tables_Performance!$L$42:$L$44</c:f>
              <c:numCache>
                <c:formatCode>General</c:formatCode>
                <c:ptCount val="3"/>
                <c:pt idx="0">
                  <c:v>10.699111010927256</c:v>
                </c:pt>
                <c:pt idx="1">
                  <c:v>3</c:v>
                </c:pt>
                <c:pt idx="2">
                  <c:v>192.30088898907275</c:v>
                </c:pt>
              </c:numCache>
            </c:numRef>
          </c:val>
          <c:extLst>
            <c:ext xmlns:c16="http://schemas.microsoft.com/office/drawing/2014/chart" uri="{C3380CC4-5D6E-409C-BE32-E72D297353CC}">
              <c16:uniqueId val="{00000028-ED0C-45ED-B627-17C5441E7FD3}"/>
            </c:ext>
          </c:extLst>
        </c:ser>
        <c:dLbls>
          <c:showLegendKey val="0"/>
          <c:showVal val="0"/>
          <c:showCatName val="0"/>
          <c:showSerName val="0"/>
          <c:showPercent val="0"/>
          <c:showBubbleSize val="0"/>
          <c:showLeaderLines val="1"/>
        </c:dLbls>
        <c:firstSliceAng val="265"/>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[Bayan_Sales_Dashboard.xlsm]Pivot_Tables_Performance!PivotTable1</c:name>
    <c:fmtId val="57"/>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8F112F"/>
          </a:solidFill>
          <a:ln>
            <a:noFill/>
          </a:ln>
          <a:effectLst/>
        </c:spPr>
      </c:pivotFmt>
      <c:pivotFmt>
        <c:idx val="2"/>
        <c:spPr>
          <a:solidFill>
            <a:schemeClr val="accent6">
              <a:lumMod val="50000"/>
            </a:schemeClr>
          </a:solidFill>
          <a:ln>
            <a:noFill/>
          </a:ln>
          <a:effectLst/>
        </c:spPr>
      </c:pivotFmt>
      <c:pivotFmt>
        <c:idx val="3"/>
        <c:spPr>
          <a:solidFill>
            <a:schemeClr val="accent6">
              <a:lumMod val="75000"/>
            </a:schemeClr>
          </a:solidFill>
          <a:ln>
            <a:noFill/>
          </a:ln>
          <a:effectLst/>
        </c:spPr>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8F112F"/>
          </a:solidFill>
          <a:ln>
            <a:noFill/>
          </a:ln>
          <a:effectLst/>
        </c:spPr>
      </c:pivotFmt>
      <c:pivotFmt>
        <c:idx val="6"/>
        <c:spPr>
          <a:solidFill>
            <a:schemeClr val="accent6">
              <a:lumMod val="50000"/>
            </a:schemeClr>
          </a:solidFill>
          <a:ln>
            <a:noFill/>
          </a:ln>
          <a:effectLst/>
        </c:spPr>
      </c:pivotFmt>
      <c:pivotFmt>
        <c:idx val="7"/>
        <c:spPr>
          <a:solidFill>
            <a:schemeClr val="accent6">
              <a:lumMod val="75000"/>
            </a:schemeClr>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0" i="0" u="none" strike="noStrike" kern="1200" baseline="0">
                  <a:solidFill>
                    <a:srgbClr val="8F112F"/>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8F112F"/>
          </a:solidFill>
          <a:ln>
            <a:noFill/>
          </a:ln>
          <a:effectLst/>
        </c:spPr>
      </c:pivotFmt>
      <c:pivotFmt>
        <c:idx val="10"/>
        <c:spPr>
          <a:solidFill>
            <a:schemeClr val="accent6">
              <a:lumMod val="50000"/>
            </a:schemeClr>
          </a:solidFill>
          <a:ln>
            <a:noFill/>
          </a:ln>
          <a:effectLst/>
        </c:spPr>
      </c:pivotFmt>
      <c:pivotFmt>
        <c:idx val="11"/>
        <c:spPr>
          <a:solidFill>
            <a:schemeClr val="accent6">
              <a:lumMod val="75000"/>
            </a:schemeClr>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0" i="0" u="none" strike="noStrike" kern="1200" baseline="0">
                  <a:solidFill>
                    <a:srgbClr val="8F112F"/>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3"/>
        <c:spPr>
          <a:solidFill>
            <a:srgbClr val="8F112F"/>
          </a:solidFill>
          <a:ln>
            <a:noFill/>
          </a:ln>
          <a:effectLst/>
        </c:spPr>
      </c:pivotFmt>
      <c:pivotFmt>
        <c:idx val="14"/>
        <c:spPr>
          <a:solidFill>
            <a:schemeClr val="accent6">
              <a:lumMod val="50000"/>
            </a:schemeClr>
          </a:solidFill>
          <a:ln>
            <a:noFill/>
          </a:ln>
          <a:effectLst/>
        </c:spPr>
      </c:pivotFmt>
      <c:pivotFmt>
        <c:idx val="15"/>
        <c:spPr>
          <a:solidFill>
            <a:schemeClr val="accent6">
              <a:lumMod val="75000"/>
            </a:schemeClr>
          </a:solidFill>
          <a:ln>
            <a:noFill/>
          </a:ln>
          <a:effectLst/>
        </c:spP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0" i="0" u="none" strike="noStrike" kern="1200" baseline="0">
                  <a:solidFill>
                    <a:srgbClr val="8F112F"/>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7"/>
        <c:spPr>
          <a:solidFill>
            <a:srgbClr val="8F112F"/>
          </a:solidFill>
          <a:ln>
            <a:noFill/>
          </a:ln>
          <a:effectLst/>
        </c:spPr>
      </c:pivotFmt>
      <c:pivotFmt>
        <c:idx val="18"/>
        <c:spPr>
          <a:solidFill>
            <a:schemeClr val="accent6">
              <a:lumMod val="50000"/>
            </a:schemeClr>
          </a:solidFill>
          <a:ln>
            <a:noFill/>
          </a:ln>
          <a:effectLst/>
        </c:spPr>
      </c:pivotFmt>
      <c:pivotFmt>
        <c:idx val="19"/>
        <c:spPr>
          <a:solidFill>
            <a:schemeClr val="accent6">
              <a:lumMod val="75000"/>
            </a:schemeClr>
          </a:solidFill>
          <a:ln>
            <a:noFill/>
          </a:ln>
          <a:effectLst/>
        </c:spPr>
      </c:pivotFmt>
      <c:pivotFmt>
        <c:idx val="20"/>
        <c:marker>
          <c:symbol val="none"/>
        </c:marker>
        <c:dLbl>
          <c:idx val="0"/>
          <c:spPr>
            <a:noFill/>
            <a:ln>
              <a:noFill/>
            </a:ln>
            <a:effectLst/>
          </c:spPr>
          <c:txPr>
            <a:bodyPr wrap="none" lIns="36000" tIns="19050" rIns="108000" bIns="19050" numCol="1" anchor="ctr">
              <a:spAutoFit/>
            </a:bodyPr>
            <a:lstStyle/>
            <a:p>
              <a:pPr>
                <a:defRPr sz="800">
                  <a:solidFill>
                    <a:srgbClr val="8F112F"/>
                  </a:solidFill>
                </a:defRPr>
              </a:pPr>
              <a:endParaRPr lang="en-NG"/>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1"/>
        <c:spPr>
          <a:solidFill>
            <a:srgbClr val="8F112F"/>
          </a:solidFill>
        </c:spPr>
      </c:pivotFmt>
      <c:pivotFmt>
        <c:idx val="22"/>
        <c:spPr>
          <a:solidFill>
            <a:schemeClr val="accent6">
              <a:lumMod val="50000"/>
            </a:schemeClr>
          </a:solidFill>
        </c:spPr>
      </c:pivotFmt>
      <c:pivotFmt>
        <c:idx val="23"/>
        <c:spPr>
          <a:solidFill>
            <a:schemeClr val="accent6">
              <a:lumMod val="75000"/>
            </a:schemeClr>
          </a:solidFill>
        </c:spPr>
      </c:pivotFmt>
      <c:pivotFmt>
        <c:idx val="24"/>
        <c:spPr>
          <a:solidFill>
            <a:schemeClr val="accent6">
              <a:lumMod val="60000"/>
              <a:lumOff val="40000"/>
            </a:schemeClr>
          </a:solidFill>
        </c:spPr>
      </c:pivotFmt>
    </c:pivotFmts>
    <c:plotArea>
      <c:layout>
        <c:manualLayout>
          <c:layoutTarget val="inner"/>
          <c:xMode val="edge"/>
          <c:yMode val="edge"/>
          <c:x val="0"/>
          <c:y val="1.3840976323565549E-2"/>
          <c:w val="0.96494097701135984"/>
          <c:h val="0.90292512105029887"/>
        </c:manualLayout>
      </c:layout>
      <c:barChart>
        <c:barDir val="col"/>
        <c:grouping val="clustered"/>
        <c:varyColors val="0"/>
        <c:ser>
          <c:idx val="0"/>
          <c:order val="0"/>
          <c:tx>
            <c:strRef>
              <c:f>Pivot_Tables_Performance!$J$55</c:f>
              <c:strCache>
                <c:ptCount val="1"/>
                <c:pt idx="0">
                  <c:v>Total</c:v>
                </c:pt>
              </c:strCache>
            </c:strRef>
          </c:tx>
          <c:invertIfNegative val="0"/>
          <c:dPt>
            <c:idx val="0"/>
            <c:invertIfNegative val="0"/>
            <c:bubble3D val="0"/>
            <c:spPr>
              <a:solidFill>
                <a:srgbClr val="8F112F"/>
              </a:solidFill>
            </c:spPr>
            <c:extLst>
              <c:ext xmlns:c16="http://schemas.microsoft.com/office/drawing/2014/chart" uri="{C3380CC4-5D6E-409C-BE32-E72D297353CC}">
                <c16:uniqueId val="{00000008-BC7A-49CB-9820-919B2877F1E9}"/>
              </c:ext>
            </c:extLst>
          </c:dPt>
          <c:dPt>
            <c:idx val="1"/>
            <c:invertIfNegative val="0"/>
            <c:bubble3D val="0"/>
            <c:spPr>
              <a:solidFill>
                <a:schemeClr val="accent6">
                  <a:lumMod val="50000"/>
                </a:schemeClr>
              </a:solidFill>
            </c:spPr>
            <c:extLst>
              <c:ext xmlns:c16="http://schemas.microsoft.com/office/drawing/2014/chart" uri="{C3380CC4-5D6E-409C-BE32-E72D297353CC}">
                <c16:uniqueId val="{00000009-BC7A-49CB-9820-919B2877F1E9}"/>
              </c:ext>
            </c:extLst>
          </c:dPt>
          <c:dPt>
            <c:idx val="2"/>
            <c:invertIfNegative val="0"/>
            <c:bubble3D val="0"/>
            <c:spPr>
              <a:solidFill>
                <a:schemeClr val="accent6">
                  <a:lumMod val="75000"/>
                </a:schemeClr>
              </a:solidFill>
            </c:spPr>
            <c:extLst>
              <c:ext xmlns:c16="http://schemas.microsoft.com/office/drawing/2014/chart" uri="{C3380CC4-5D6E-409C-BE32-E72D297353CC}">
                <c16:uniqueId val="{0000000A-BC7A-49CB-9820-919B2877F1E9}"/>
              </c:ext>
            </c:extLst>
          </c:dPt>
          <c:dPt>
            <c:idx val="3"/>
            <c:invertIfNegative val="0"/>
            <c:bubble3D val="0"/>
            <c:spPr>
              <a:solidFill>
                <a:schemeClr val="accent6">
                  <a:lumMod val="60000"/>
                  <a:lumOff val="40000"/>
                </a:schemeClr>
              </a:solidFill>
            </c:spPr>
            <c:extLst>
              <c:ext xmlns:c16="http://schemas.microsoft.com/office/drawing/2014/chart" uri="{C3380CC4-5D6E-409C-BE32-E72D297353CC}">
                <c16:uniqueId val="{0000000B-BC7A-49CB-9820-919B2877F1E9}"/>
              </c:ext>
            </c:extLst>
          </c:dPt>
          <c:dLbls>
            <c:spPr>
              <a:noFill/>
              <a:ln>
                <a:noFill/>
              </a:ln>
              <a:effectLst/>
            </c:spPr>
            <c:txPr>
              <a:bodyPr wrap="none" lIns="36000" tIns="19050" rIns="108000" bIns="19050" numCol="1" anchor="ctr">
                <a:spAutoFit/>
              </a:bodyPr>
              <a:lstStyle/>
              <a:p>
                <a:pPr>
                  <a:defRPr sz="800">
                    <a:solidFill>
                      <a:srgbClr val="8F112F"/>
                    </a:solidFill>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Pivot_Tables_Performance!$I$56:$I$60</c:f>
              <c:strCache>
                <c:ptCount val="4"/>
                <c:pt idx="0">
                  <c:v>Chairs</c:v>
                </c:pt>
                <c:pt idx="1">
                  <c:v>Furnishings</c:v>
                </c:pt>
                <c:pt idx="2">
                  <c:v>Tables</c:v>
                </c:pt>
                <c:pt idx="3">
                  <c:v>Bookcases</c:v>
                </c:pt>
              </c:strCache>
            </c:strRef>
          </c:cat>
          <c:val>
            <c:numRef>
              <c:f>Pivot_Tables_Performance!$J$56:$J$60</c:f>
              <c:numCache>
                <c:formatCode>[$$-409]#,##0</c:formatCode>
                <c:ptCount val="4"/>
                <c:pt idx="0">
                  <c:v>36471.007599999997</c:v>
                </c:pt>
                <c:pt idx="1">
                  <c:v>19550.057000000001</c:v>
                </c:pt>
                <c:pt idx="2">
                  <c:v>14686.6672</c:v>
                </c:pt>
                <c:pt idx="3">
                  <c:v>8679.65</c:v>
                </c:pt>
              </c:numCache>
            </c:numRef>
          </c:val>
          <c:extLst>
            <c:ext xmlns:c16="http://schemas.microsoft.com/office/drawing/2014/chart" uri="{C3380CC4-5D6E-409C-BE32-E72D297353CC}">
              <c16:uniqueId val="{00000006-BC7A-49CB-9820-919B2877F1E9}"/>
            </c:ext>
          </c:extLst>
        </c:ser>
        <c:dLbls>
          <c:showLegendKey val="0"/>
          <c:showVal val="0"/>
          <c:showCatName val="0"/>
          <c:showSerName val="0"/>
          <c:showPercent val="0"/>
          <c:showBubbleSize val="0"/>
        </c:dLbls>
        <c:gapWidth val="58"/>
        <c:overlap val="-44"/>
        <c:axId val="602448224"/>
        <c:axId val="602437664"/>
      </c:barChart>
      <c:catAx>
        <c:axId val="602448224"/>
        <c:scaling>
          <c:orientation val="minMax"/>
        </c:scaling>
        <c:delete val="0"/>
        <c:axPos val="b"/>
        <c:numFmt formatCode="General" sourceLinked="1"/>
        <c:majorTickMark val="none"/>
        <c:minorTickMark val="none"/>
        <c:tickLblPos val="nextTo"/>
        <c:spPr>
          <a:noFill/>
          <a:ln w="3175" cap="rnd" cmpd="dbl" algn="ctr">
            <a:noFill/>
            <a:prstDash val="solid"/>
            <a:round/>
            <a:tailEnd w="sm" len="sm"/>
          </a:ln>
          <a:effectLst/>
        </c:spPr>
        <c:txPr>
          <a:bodyPr rot="0" vert="horz"/>
          <a:lstStyle/>
          <a:p>
            <a:pPr>
              <a:defRPr/>
            </a:pPr>
            <a:endParaRPr lang="en-NG"/>
          </a:p>
        </c:txPr>
        <c:crossAx val="602437664"/>
        <c:crosses val="autoZero"/>
        <c:auto val="1"/>
        <c:lblAlgn val="ctr"/>
        <c:lblOffset val="1"/>
        <c:tickMarkSkip val="12"/>
        <c:noMultiLvlLbl val="0"/>
      </c:catAx>
      <c:valAx>
        <c:axId val="602437664"/>
        <c:scaling>
          <c:orientation val="minMax"/>
        </c:scaling>
        <c:delete val="1"/>
        <c:axPos val="l"/>
        <c:numFmt formatCode="[$$-409]#,##0" sourceLinked="1"/>
        <c:majorTickMark val="out"/>
        <c:minorTickMark val="none"/>
        <c:tickLblPos val="nextTo"/>
        <c:crossAx val="602448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600" b="1">
          <a:solidFill>
            <a:srgbClr val="FF0000"/>
          </a:solidFill>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[Bayan_Sales_Dashboard.xlsm]Pivot_Tables_Performance!PivotTable1</c:name>
    <c:fmtId val="5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FF"/>
          </a:solidFill>
          <a:ln w="19050">
            <a:noFill/>
          </a:ln>
          <a:effectLst/>
        </c:spPr>
      </c:pivotFmt>
      <c:pivotFmt>
        <c:idx val="11"/>
        <c:spPr>
          <a:solidFill>
            <a:schemeClr val="accent6">
              <a:lumMod val="50000"/>
            </a:schemeClr>
          </a:solidFill>
          <a:ln w="19050">
            <a:noFill/>
          </a:ln>
          <a:effectLst/>
        </c:spPr>
      </c:pivotFmt>
      <c:pivotFmt>
        <c:idx val="12"/>
        <c:spPr>
          <a:solidFill>
            <a:srgbClr val="FEF6F0"/>
          </a:solidFill>
          <a:ln w="19050">
            <a:noFill/>
          </a:ln>
          <a:effectLst/>
        </c:spPr>
      </c:pivotFmt>
      <c:pivotFmt>
        <c:idx val="1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FF"/>
          </a:solidFill>
          <a:ln w="19050">
            <a:noFill/>
          </a:ln>
          <a:effectLst/>
        </c:spPr>
      </c:pivotFmt>
      <c:pivotFmt>
        <c:idx val="15"/>
        <c:spPr>
          <a:solidFill>
            <a:schemeClr val="accent6">
              <a:lumMod val="50000"/>
            </a:schemeClr>
          </a:solidFill>
          <a:ln w="19050">
            <a:noFill/>
          </a:ln>
          <a:effectLst/>
        </c:spPr>
      </c:pivotFmt>
      <c:pivotFmt>
        <c:idx val="16"/>
        <c:spPr>
          <a:solidFill>
            <a:srgbClr val="FEF6F0"/>
          </a:solidFill>
          <a:ln w="19050">
            <a:noFill/>
          </a:ln>
          <a:effectLst/>
        </c:spPr>
      </c:pivotFmt>
      <c:pivotFmt>
        <c:idx val="1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FFFF"/>
          </a:solidFill>
          <a:ln w="19050">
            <a:noFill/>
          </a:ln>
          <a:effectLst/>
        </c:spPr>
      </c:pivotFmt>
      <c:pivotFmt>
        <c:idx val="19"/>
        <c:spPr>
          <a:solidFill>
            <a:schemeClr val="accent6">
              <a:lumMod val="50000"/>
            </a:schemeClr>
          </a:solidFill>
          <a:ln w="19050">
            <a:noFill/>
          </a:ln>
          <a:effectLst/>
        </c:spPr>
      </c:pivotFmt>
      <c:pivotFmt>
        <c:idx val="20"/>
        <c:spPr>
          <a:solidFill>
            <a:srgbClr val="FEF6F0"/>
          </a:solidFill>
          <a:ln w="19050">
            <a:noFill/>
          </a:ln>
          <a:effectLst/>
        </c:spPr>
      </c:pivotFmt>
      <c:pivotFmt>
        <c:idx val="2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FFFF"/>
          </a:solidFill>
          <a:ln w="3175">
            <a:solidFill>
              <a:schemeClr val="lt1"/>
            </a:solidFill>
          </a:ln>
          <a:effectLst/>
        </c:spPr>
      </c:pivotFmt>
      <c:pivotFmt>
        <c:idx val="23"/>
        <c:spPr>
          <a:solidFill>
            <a:srgbClr val="FFFFFF"/>
          </a:solidFill>
          <a:ln w="19050">
            <a:solidFill>
              <a:schemeClr val="lt1"/>
            </a:solidFill>
          </a:ln>
          <a:effectLst/>
        </c:spPr>
      </c:pivotFmt>
      <c:pivotFmt>
        <c:idx val="24"/>
        <c:spPr>
          <a:solidFill>
            <a:srgbClr val="FFFFFF"/>
          </a:solidFill>
          <a:ln w="19050">
            <a:solidFill>
              <a:schemeClr val="lt1"/>
            </a:solidFill>
          </a:ln>
          <a:effectLst/>
        </c:spPr>
      </c:pivotFmt>
      <c:pivotFmt>
        <c:idx val="25"/>
        <c:spPr>
          <a:solidFill>
            <a:schemeClr val="accent6">
              <a:lumMod val="60000"/>
              <a:lumOff val="40000"/>
            </a:schemeClr>
          </a:solidFill>
          <a:ln w="19050">
            <a:solidFill>
              <a:schemeClr val="accent6">
                <a:lumMod val="60000"/>
                <a:lumOff val="40000"/>
              </a:schemeClr>
            </a:solidFill>
          </a:ln>
          <a:effectLst/>
        </c:spPr>
      </c:pivotFmt>
    </c:pivotFmts>
    <c:plotArea>
      <c:layout>
        <c:manualLayout>
          <c:layoutTarget val="inner"/>
          <c:xMode val="edge"/>
          <c:yMode val="edge"/>
          <c:x val="0.14432989690721648"/>
          <c:y val="0.30514705882352944"/>
          <c:w val="0.85567010309278346"/>
          <c:h val="0.61029411764705888"/>
        </c:manualLayout>
      </c:layout>
      <c:doughnutChart>
        <c:varyColors val="1"/>
        <c:ser>
          <c:idx val="0"/>
          <c:order val="0"/>
          <c:tx>
            <c:strRef>
              <c:f>Pivot_Tables_Performance!$J$55</c:f>
              <c:strCache>
                <c:ptCount val="1"/>
                <c:pt idx="0">
                  <c:v>Total</c:v>
                </c:pt>
              </c:strCache>
            </c:strRef>
          </c:tx>
          <c:spPr>
            <a:ln>
              <a:noFill/>
            </a:ln>
          </c:spPr>
          <c:dPt>
            <c:idx val="0"/>
            <c:bubble3D val="0"/>
            <c:spPr>
              <a:solidFill>
                <a:srgbClr val="FFFFFF"/>
              </a:solidFill>
              <a:ln w="3175">
                <a:solidFill>
                  <a:schemeClr val="lt1"/>
                </a:solidFill>
              </a:ln>
              <a:effectLst/>
            </c:spPr>
            <c:extLst>
              <c:ext xmlns:c16="http://schemas.microsoft.com/office/drawing/2014/chart" uri="{C3380CC4-5D6E-409C-BE32-E72D297353CC}">
                <c16:uniqueId val="{00000008-98A7-4938-A7F2-74C4EF091DD9}"/>
              </c:ext>
            </c:extLst>
          </c:dPt>
          <c:dPt>
            <c:idx val="1"/>
            <c:bubble3D val="0"/>
            <c:spPr>
              <a:solidFill>
                <a:srgbClr val="FFFFFF"/>
              </a:solidFill>
              <a:ln w="19050">
                <a:solidFill>
                  <a:schemeClr val="lt1"/>
                </a:solidFill>
              </a:ln>
              <a:effectLst/>
            </c:spPr>
            <c:extLst>
              <c:ext xmlns:c16="http://schemas.microsoft.com/office/drawing/2014/chart" uri="{C3380CC4-5D6E-409C-BE32-E72D297353CC}">
                <c16:uniqueId val="{00000009-98A7-4938-A7F2-74C4EF091DD9}"/>
              </c:ext>
            </c:extLst>
          </c:dPt>
          <c:dPt>
            <c:idx val="2"/>
            <c:bubble3D val="0"/>
            <c:spPr>
              <a:solidFill>
                <a:srgbClr val="FFFFFF"/>
              </a:solidFill>
              <a:ln w="19050">
                <a:solidFill>
                  <a:schemeClr val="lt1"/>
                </a:solidFill>
              </a:ln>
              <a:effectLst/>
            </c:spPr>
            <c:extLst>
              <c:ext xmlns:c16="http://schemas.microsoft.com/office/drawing/2014/chart" uri="{C3380CC4-5D6E-409C-BE32-E72D297353CC}">
                <c16:uniqueId val="{0000000B-98A7-4938-A7F2-74C4EF091DD9}"/>
              </c:ext>
            </c:extLst>
          </c:dPt>
          <c:dPt>
            <c:idx val="3"/>
            <c:bubble3D val="0"/>
            <c:spPr>
              <a:solidFill>
                <a:schemeClr val="accent6">
                  <a:lumMod val="60000"/>
                  <a:lumOff val="40000"/>
                </a:schemeClr>
              </a:solidFill>
              <a:ln w="19050">
                <a:solidFill>
                  <a:schemeClr val="accent6">
                    <a:lumMod val="60000"/>
                    <a:lumOff val="40000"/>
                  </a:schemeClr>
                </a:solidFill>
              </a:ln>
              <a:effectLst/>
            </c:spPr>
            <c:extLst>
              <c:ext xmlns:c16="http://schemas.microsoft.com/office/drawing/2014/chart" uri="{C3380CC4-5D6E-409C-BE32-E72D297353CC}">
                <c16:uniqueId val="{0000000A-98A7-4938-A7F2-74C4EF091DD9}"/>
              </c:ext>
            </c:extLst>
          </c:dPt>
          <c:cat>
            <c:strRef>
              <c:f>Pivot_Tables_Performance!$I$56:$I$60</c:f>
              <c:strCache>
                <c:ptCount val="4"/>
                <c:pt idx="0">
                  <c:v>Chairs</c:v>
                </c:pt>
                <c:pt idx="1">
                  <c:v>Furnishings</c:v>
                </c:pt>
                <c:pt idx="2">
                  <c:v>Tables</c:v>
                </c:pt>
                <c:pt idx="3">
                  <c:v>Bookcases</c:v>
                </c:pt>
              </c:strCache>
            </c:strRef>
          </c:cat>
          <c:val>
            <c:numRef>
              <c:f>Pivot_Tables_Performance!$J$56:$J$60</c:f>
              <c:numCache>
                <c:formatCode>[$$-409]#,##0</c:formatCode>
                <c:ptCount val="4"/>
                <c:pt idx="0">
                  <c:v>36471.007599999997</c:v>
                </c:pt>
                <c:pt idx="1">
                  <c:v>19550.057000000001</c:v>
                </c:pt>
                <c:pt idx="2">
                  <c:v>14686.6672</c:v>
                </c:pt>
                <c:pt idx="3">
                  <c:v>8679.65</c:v>
                </c:pt>
              </c:numCache>
            </c:numRef>
          </c:val>
          <c:extLst>
            <c:ext xmlns:c16="http://schemas.microsoft.com/office/drawing/2014/chart" uri="{C3380CC4-5D6E-409C-BE32-E72D297353CC}">
              <c16:uniqueId val="{00000006-98A7-4938-A7F2-74C4EF091DD9}"/>
            </c:ext>
          </c:extLst>
        </c:ser>
        <c:dLbls>
          <c:showLegendKey val="0"/>
          <c:showVal val="0"/>
          <c:showCatName val="0"/>
          <c:showSerName val="0"/>
          <c:showPercent val="0"/>
          <c:showBubbleSize val="0"/>
          <c:showLeaderLines val="1"/>
        </c:dLbls>
        <c:firstSliceAng val="50"/>
        <c:holeSize val="5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[Bayan_Sales_Dashboard.xlsm]Pivot_Tables_Performance!PivotTable1</c:name>
    <c:fmtId val="6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FF"/>
          </a:solidFill>
          <a:ln w="19050">
            <a:noFill/>
          </a:ln>
          <a:effectLst/>
        </c:spPr>
      </c:pivotFmt>
      <c:pivotFmt>
        <c:idx val="11"/>
        <c:spPr>
          <a:solidFill>
            <a:schemeClr val="accent6">
              <a:lumMod val="50000"/>
            </a:schemeClr>
          </a:solidFill>
          <a:ln w="19050">
            <a:noFill/>
          </a:ln>
          <a:effectLst/>
        </c:spPr>
      </c:pivotFmt>
      <c:pivotFmt>
        <c:idx val="12"/>
        <c:spPr>
          <a:solidFill>
            <a:srgbClr val="FEF6F0"/>
          </a:solidFill>
          <a:ln w="19050">
            <a:noFill/>
          </a:ln>
          <a:effectLst/>
        </c:spPr>
      </c:pivotFmt>
      <c:pivotFmt>
        <c:idx val="1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FF"/>
          </a:solidFill>
          <a:ln w="19050">
            <a:noFill/>
          </a:ln>
          <a:effectLst/>
        </c:spPr>
      </c:pivotFmt>
      <c:pivotFmt>
        <c:idx val="15"/>
        <c:spPr>
          <a:solidFill>
            <a:schemeClr val="accent6">
              <a:lumMod val="50000"/>
            </a:schemeClr>
          </a:solidFill>
          <a:ln w="19050">
            <a:noFill/>
          </a:ln>
          <a:effectLst/>
        </c:spPr>
      </c:pivotFmt>
      <c:pivotFmt>
        <c:idx val="16"/>
        <c:spPr>
          <a:solidFill>
            <a:srgbClr val="FEF6F0"/>
          </a:solidFill>
          <a:ln w="19050">
            <a:noFill/>
          </a:ln>
          <a:effectLst/>
        </c:spPr>
      </c:pivotFmt>
      <c:pivotFmt>
        <c:idx val="1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FFFF"/>
          </a:solidFill>
          <a:ln w="19050">
            <a:noFill/>
          </a:ln>
          <a:effectLst/>
        </c:spPr>
      </c:pivotFmt>
      <c:pivotFmt>
        <c:idx val="19"/>
        <c:spPr>
          <a:solidFill>
            <a:schemeClr val="accent6">
              <a:lumMod val="50000"/>
            </a:schemeClr>
          </a:solidFill>
          <a:ln w="19050">
            <a:noFill/>
          </a:ln>
          <a:effectLst/>
        </c:spPr>
      </c:pivotFmt>
      <c:pivotFmt>
        <c:idx val="20"/>
        <c:spPr>
          <a:solidFill>
            <a:srgbClr val="FEF6F0"/>
          </a:solidFill>
          <a:ln w="19050">
            <a:no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FFFF"/>
          </a:solidFill>
          <a:ln w="19050">
            <a:solidFill>
              <a:schemeClr val="lt1"/>
            </a:solidFill>
          </a:ln>
          <a:effectLst/>
        </c:spPr>
      </c:pivotFmt>
      <c:pivotFmt>
        <c:idx val="23"/>
        <c:spPr>
          <a:solidFill>
            <a:srgbClr val="FFFFFF"/>
          </a:solidFill>
          <a:ln w="19050">
            <a:solidFill>
              <a:schemeClr val="lt1"/>
            </a:solidFill>
          </a:ln>
          <a:effectLst/>
        </c:spPr>
      </c:pivotFmt>
      <c:pivotFmt>
        <c:idx val="24"/>
        <c:spPr>
          <a:solidFill>
            <a:schemeClr val="accent6">
              <a:lumMod val="75000"/>
            </a:schemeClr>
          </a:solidFill>
          <a:ln w="19050">
            <a:solidFill>
              <a:schemeClr val="accent6">
                <a:lumMod val="75000"/>
              </a:schemeClr>
            </a:solidFill>
          </a:ln>
          <a:effectLst/>
        </c:spPr>
      </c:pivotFmt>
      <c:pivotFmt>
        <c:idx val="25"/>
        <c:spPr>
          <a:solidFill>
            <a:srgbClr val="FFFFFF"/>
          </a:solidFill>
          <a:ln w="19050">
            <a:solidFill>
              <a:schemeClr val="lt1"/>
            </a:solidFill>
          </a:ln>
          <a:effectLst/>
        </c:spPr>
      </c:pivotFmt>
    </c:pivotFmts>
    <c:plotArea>
      <c:layout>
        <c:manualLayout>
          <c:layoutTarget val="inner"/>
          <c:xMode val="edge"/>
          <c:yMode val="edge"/>
          <c:x val="0.14432989690721648"/>
          <c:y val="0.30514705882352944"/>
          <c:w val="0.85567010309278346"/>
          <c:h val="0.61029411764705888"/>
        </c:manualLayout>
      </c:layout>
      <c:doughnutChart>
        <c:varyColors val="1"/>
        <c:ser>
          <c:idx val="0"/>
          <c:order val="0"/>
          <c:tx>
            <c:strRef>
              <c:f>Pivot_Tables_Performance!$J$55</c:f>
              <c:strCache>
                <c:ptCount val="1"/>
                <c:pt idx="0">
                  <c:v>Total</c:v>
                </c:pt>
              </c:strCache>
            </c:strRef>
          </c:tx>
          <c:dPt>
            <c:idx val="0"/>
            <c:bubble3D val="0"/>
            <c:spPr>
              <a:solidFill>
                <a:srgbClr val="FFFFFF"/>
              </a:solidFill>
              <a:ln w="19050">
                <a:solidFill>
                  <a:schemeClr val="lt1"/>
                </a:solidFill>
              </a:ln>
              <a:effectLst/>
            </c:spPr>
            <c:extLst>
              <c:ext xmlns:c16="http://schemas.microsoft.com/office/drawing/2014/chart" uri="{C3380CC4-5D6E-409C-BE32-E72D297353CC}">
                <c16:uniqueId val="{00000008-B96B-42A1-842E-B12634296CF5}"/>
              </c:ext>
            </c:extLst>
          </c:dPt>
          <c:dPt>
            <c:idx val="1"/>
            <c:bubble3D val="0"/>
            <c:spPr>
              <a:solidFill>
                <a:srgbClr val="FFFFFF"/>
              </a:solidFill>
              <a:ln w="19050">
                <a:solidFill>
                  <a:schemeClr val="lt1"/>
                </a:solidFill>
              </a:ln>
              <a:effectLst/>
            </c:spPr>
            <c:extLst>
              <c:ext xmlns:c16="http://schemas.microsoft.com/office/drawing/2014/chart" uri="{C3380CC4-5D6E-409C-BE32-E72D297353CC}">
                <c16:uniqueId val="{00000009-B96B-42A1-842E-B12634296CF5}"/>
              </c:ext>
            </c:extLst>
          </c:dPt>
          <c:dPt>
            <c:idx val="2"/>
            <c:bubble3D val="0"/>
            <c:spPr>
              <a:solidFill>
                <a:schemeClr val="accent6">
                  <a:lumMod val="75000"/>
                </a:schemeClr>
              </a:solidFill>
              <a:ln w="19050">
                <a:solidFill>
                  <a:schemeClr val="accent6">
                    <a:lumMod val="75000"/>
                  </a:schemeClr>
                </a:solidFill>
              </a:ln>
              <a:effectLst/>
            </c:spPr>
            <c:extLst>
              <c:ext xmlns:c16="http://schemas.microsoft.com/office/drawing/2014/chart" uri="{C3380CC4-5D6E-409C-BE32-E72D297353CC}">
                <c16:uniqueId val="{0000000B-B96B-42A1-842E-B12634296CF5}"/>
              </c:ext>
            </c:extLst>
          </c:dPt>
          <c:dPt>
            <c:idx val="3"/>
            <c:bubble3D val="0"/>
            <c:spPr>
              <a:solidFill>
                <a:srgbClr val="FFFFFF"/>
              </a:solidFill>
              <a:ln w="19050">
                <a:solidFill>
                  <a:schemeClr val="lt1"/>
                </a:solidFill>
              </a:ln>
              <a:effectLst/>
            </c:spPr>
            <c:extLst>
              <c:ext xmlns:c16="http://schemas.microsoft.com/office/drawing/2014/chart" uri="{C3380CC4-5D6E-409C-BE32-E72D297353CC}">
                <c16:uniqueId val="{0000000A-B96B-42A1-842E-B12634296CF5}"/>
              </c:ext>
            </c:extLst>
          </c:dPt>
          <c:cat>
            <c:strRef>
              <c:f>Pivot_Tables_Performance!$I$56:$I$60</c:f>
              <c:strCache>
                <c:ptCount val="4"/>
                <c:pt idx="0">
                  <c:v>Chairs</c:v>
                </c:pt>
                <c:pt idx="1">
                  <c:v>Furnishings</c:v>
                </c:pt>
                <c:pt idx="2">
                  <c:v>Tables</c:v>
                </c:pt>
                <c:pt idx="3">
                  <c:v>Bookcases</c:v>
                </c:pt>
              </c:strCache>
            </c:strRef>
          </c:cat>
          <c:val>
            <c:numRef>
              <c:f>Pivot_Tables_Performance!$J$56:$J$60</c:f>
              <c:numCache>
                <c:formatCode>[$$-409]#,##0</c:formatCode>
                <c:ptCount val="4"/>
                <c:pt idx="0">
                  <c:v>36471.007599999997</c:v>
                </c:pt>
                <c:pt idx="1">
                  <c:v>19550.057000000001</c:v>
                </c:pt>
                <c:pt idx="2">
                  <c:v>14686.6672</c:v>
                </c:pt>
                <c:pt idx="3">
                  <c:v>8679.65</c:v>
                </c:pt>
              </c:numCache>
            </c:numRef>
          </c:val>
          <c:extLst>
            <c:ext xmlns:c16="http://schemas.microsoft.com/office/drawing/2014/chart" uri="{C3380CC4-5D6E-409C-BE32-E72D297353CC}">
              <c16:uniqueId val="{00000006-B96B-42A1-842E-B12634296CF5}"/>
            </c:ext>
          </c:extLst>
        </c:ser>
        <c:dLbls>
          <c:showLegendKey val="0"/>
          <c:showVal val="0"/>
          <c:showCatName val="0"/>
          <c:showSerName val="0"/>
          <c:showPercent val="0"/>
          <c:showBubbleSize val="0"/>
          <c:showLeaderLines val="1"/>
        </c:dLbls>
        <c:firstSliceAng val="116"/>
        <c:holeSize val="5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[Bayan_Sales_Dashboard.xlsm]Pivot_Tables_Performance!PivotTable1</c:name>
    <c:fmtId val="6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FF"/>
          </a:solidFill>
          <a:ln w="19050">
            <a:noFill/>
          </a:ln>
          <a:effectLst/>
        </c:spPr>
      </c:pivotFmt>
      <c:pivotFmt>
        <c:idx val="11"/>
        <c:spPr>
          <a:solidFill>
            <a:schemeClr val="accent6">
              <a:lumMod val="50000"/>
            </a:schemeClr>
          </a:solidFill>
          <a:ln w="19050">
            <a:noFill/>
          </a:ln>
          <a:effectLst/>
        </c:spPr>
      </c:pivotFmt>
      <c:pivotFmt>
        <c:idx val="12"/>
        <c:spPr>
          <a:solidFill>
            <a:srgbClr val="FEF6F0"/>
          </a:solidFill>
          <a:ln w="19050">
            <a:noFill/>
          </a:ln>
          <a:effectLst/>
        </c:spPr>
      </c:pivotFmt>
      <c:pivotFmt>
        <c:idx val="1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FF"/>
          </a:solidFill>
          <a:ln w="19050">
            <a:noFill/>
          </a:ln>
          <a:effectLst/>
        </c:spPr>
      </c:pivotFmt>
      <c:pivotFmt>
        <c:idx val="15"/>
        <c:spPr>
          <a:solidFill>
            <a:schemeClr val="accent6">
              <a:lumMod val="50000"/>
            </a:schemeClr>
          </a:solidFill>
          <a:ln w="19050">
            <a:noFill/>
          </a:ln>
          <a:effectLst/>
        </c:spPr>
      </c:pivotFmt>
      <c:pivotFmt>
        <c:idx val="16"/>
        <c:spPr>
          <a:solidFill>
            <a:srgbClr val="FEF6F0"/>
          </a:solidFill>
          <a:ln w="19050">
            <a:noFill/>
          </a:ln>
          <a:effectLst/>
        </c:spPr>
      </c:pivotFmt>
      <c:pivotFmt>
        <c:idx val="1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FFFF"/>
          </a:solidFill>
          <a:ln w="19050">
            <a:noFill/>
          </a:ln>
          <a:effectLst/>
        </c:spPr>
      </c:pivotFmt>
      <c:pivotFmt>
        <c:idx val="19"/>
        <c:spPr>
          <a:solidFill>
            <a:schemeClr val="accent6">
              <a:lumMod val="50000"/>
            </a:schemeClr>
          </a:solidFill>
          <a:ln w="19050">
            <a:noFill/>
          </a:ln>
          <a:effectLst/>
        </c:spPr>
      </c:pivotFmt>
      <c:pivotFmt>
        <c:idx val="20"/>
        <c:spPr>
          <a:solidFill>
            <a:srgbClr val="FEF6F0"/>
          </a:solidFill>
          <a:ln w="19050">
            <a:no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FFFF"/>
          </a:solidFill>
          <a:ln w="19050">
            <a:solidFill>
              <a:schemeClr val="lt1"/>
            </a:solidFill>
          </a:ln>
          <a:effectLst/>
        </c:spPr>
      </c:pivotFmt>
      <c:pivotFmt>
        <c:idx val="23"/>
        <c:spPr>
          <a:solidFill>
            <a:schemeClr val="accent6">
              <a:lumMod val="50000"/>
            </a:schemeClr>
          </a:solidFill>
          <a:ln w="19050">
            <a:solidFill>
              <a:schemeClr val="accent6">
                <a:lumMod val="50000"/>
              </a:schemeClr>
            </a:solidFill>
          </a:ln>
          <a:effectLst/>
        </c:spPr>
      </c:pivotFmt>
      <c:pivotFmt>
        <c:idx val="24"/>
        <c:spPr>
          <a:solidFill>
            <a:srgbClr val="FFFFFF"/>
          </a:solidFill>
          <a:ln w="19050">
            <a:solidFill>
              <a:schemeClr val="lt1"/>
            </a:solidFill>
          </a:ln>
          <a:effectLst/>
        </c:spPr>
      </c:pivotFmt>
      <c:pivotFmt>
        <c:idx val="25"/>
        <c:spPr>
          <a:solidFill>
            <a:srgbClr val="FFFFFF"/>
          </a:solidFill>
          <a:ln w="19050">
            <a:solidFill>
              <a:schemeClr val="lt1"/>
            </a:solidFill>
          </a:ln>
          <a:effectLst/>
        </c:spPr>
      </c:pivotFmt>
    </c:pivotFmts>
    <c:plotArea>
      <c:layout>
        <c:manualLayout>
          <c:layoutTarget val="inner"/>
          <c:xMode val="edge"/>
          <c:yMode val="edge"/>
          <c:x val="0.14432989690721648"/>
          <c:y val="0.30514705882352944"/>
          <c:w val="0.85567010309278346"/>
          <c:h val="0.61029411764705888"/>
        </c:manualLayout>
      </c:layout>
      <c:doughnutChart>
        <c:varyColors val="1"/>
        <c:ser>
          <c:idx val="0"/>
          <c:order val="0"/>
          <c:tx>
            <c:strRef>
              <c:f>Pivot_Tables_Performance!$J$55</c:f>
              <c:strCache>
                <c:ptCount val="1"/>
                <c:pt idx="0">
                  <c:v>Total</c:v>
                </c:pt>
              </c:strCache>
            </c:strRef>
          </c:tx>
          <c:dPt>
            <c:idx val="0"/>
            <c:bubble3D val="0"/>
            <c:spPr>
              <a:solidFill>
                <a:srgbClr val="FFFFFF"/>
              </a:solidFill>
              <a:ln w="19050">
                <a:solidFill>
                  <a:schemeClr val="lt1"/>
                </a:solidFill>
              </a:ln>
              <a:effectLst/>
            </c:spPr>
            <c:extLst>
              <c:ext xmlns:c16="http://schemas.microsoft.com/office/drawing/2014/chart" uri="{C3380CC4-5D6E-409C-BE32-E72D297353CC}">
                <c16:uniqueId val="{00000009-41E8-43AB-93AA-6D20C680A386}"/>
              </c:ext>
            </c:extLst>
          </c:dPt>
          <c:dPt>
            <c:idx val="1"/>
            <c:bubble3D val="0"/>
            <c:spPr>
              <a:solidFill>
                <a:schemeClr val="accent6">
                  <a:lumMod val="50000"/>
                </a:schemeClr>
              </a:solidFill>
              <a:ln w="19050">
                <a:solidFill>
                  <a:schemeClr val="accent6">
                    <a:lumMod val="50000"/>
                  </a:schemeClr>
                </a:solidFill>
              </a:ln>
              <a:effectLst/>
            </c:spPr>
            <c:extLst>
              <c:ext xmlns:c16="http://schemas.microsoft.com/office/drawing/2014/chart" uri="{C3380CC4-5D6E-409C-BE32-E72D297353CC}">
                <c16:uniqueId val="{0000000B-41E8-43AB-93AA-6D20C680A386}"/>
              </c:ext>
            </c:extLst>
          </c:dPt>
          <c:dPt>
            <c:idx val="2"/>
            <c:bubble3D val="0"/>
            <c:spPr>
              <a:solidFill>
                <a:srgbClr val="FFFFFF"/>
              </a:solidFill>
              <a:ln w="19050">
                <a:solidFill>
                  <a:schemeClr val="lt1"/>
                </a:solidFill>
              </a:ln>
              <a:effectLst/>
            </c:spPr>
            <c:extLst>
              <c:ext xmlns:c16="http://schemas.microsoft.com/office/drawing/2014/chart" uri="{C3380CC4-5D6E-409C-BE32-E72D297353CC}">
                <c16:uniqueId val="{0000000A-41E8-43AB-93AA-6D20C680A386}"/>
              </c:ext>
            </c:extLst>
          </c:dPt>
          <c:dPt>
            <c:idx val="3"/>
            <c:bubble3D val="0"/>
            <c:spPr>
              <a:solidFill>
                <a:srgbClr val="FFFFFF"/>
              </a:solidFill>
              <a:ln w="19050">
                <a:solidFill>
                  <a:schemeClr val="lt1"/>
                </a:solidFill>
              </a:ln>
              <a:effectLst/>
            </c:spPr>
            <c:extLst>
              <c:ext xmlns:c16="http://schemas.microsoft.com/office/drawing/2014/chart" uri="{C3380CC4-5D6E-409C-BE32-E72D297353CC}">
                <c16:uniqueId val="{00000008-41E8-43AB-93AA-6D20C680A386}"/>
              </c:ext>
            </c:extLst>
          </c:dPt>
          <c:cat>
            <c:strRef>
              <c:f>Pivot_Tables_Performance!$I$56:$I$60</c:f>
              <c:strCache>
                <c:ptCount val="4"/>
                <c:pt idx="0">
                  <c:v>Chairs</c:v>
                </c:pt>
                <c:pt idx="1">
                  <c:v>Furnishings</c:v>
                </c:pt>
                <c:pt idx="2">
                  <c:v>Tables</c:v>
                </c:pt>
                <c:pt idx="3">
                  <c:v>Bookcases</c:v>
                </c:pt>
              </c:strCache>
            </c:strRef>
          </c:cat>
          <c:val>
            <c:numRef>
              <c:f>Pivot_Tables_Performance!$J$56:$J$60</c:f>
              <c:numCache>
                <c:formatCode>[$$-409]#,##0</c:formatCode>
                <c:ptCount val="4"/>
                <c:pt idx="0">
                  <c:v>36471.007599999997</c:v>
                </c:pt>
                <c:pt idx="1">
                  <c:v>19550.057000000001</c:v>
                </c:pt>
                <c:pt idx="2">
                  <c:v>14686.6672</c:v>
                </c:pt>
                <c:pt idx="3">
                  <c:v>8679.65</c:v>
                </c:pt>
              </c:numCache>
            </c:numRef>
          </c:val>
          <c:extLst>
            <c:ext xmlns:c16="http://schemas.microsoft.com/office/drawing/2014/chart" uri="{C3380CC4-5D6E-409C-BE32-E72D297353CC}">
              <c16:uniqueId val="{00000006-41E8-43AB-93AA-6D20C680A386}"/>
            </c:ext>
          </c:extLst>
        </c:ser>
        <c:dLbls>
          <c:showLegendKey val="0"/>
          <c:showVal val="0"/>
          <c:showCatName val="0"/>
          <c:showSerName val="0"/>
          <c:showPercent val="0"/>
          <c:showBubbleSize val="0"/>
          <c:showLeaderLines val="1"/>
        </c:dLbls>
        <c:firstSliceAng val="190"/>
        <c:holeSize val="5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[Bayan_Sales_Dashboard.xlsm]Pivot_Tables_Performance!PivotTable1</c:name>
    <c:fmtId val="6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FF"/>
          </a:solidFill>
          <a:ln w="19050">
            <a:noFill/>
          </a:ln>
          <a:effectLst/>
        </c:spPr>
      </c:pivotFmt>
      <c:pivotFmt>
        <c:idx val="11"/>
        <c:spPr>
          <a:solidFill>
            <a:schemeClr val="accent6">
              <a:lumMod val="50000"/>
            </a:schemeClr>
          </a:solidFill>
          <a:ln w="19050">
            <a:noFill/>
          </a:ln>
          <a:effectLst/>
        </c:spPr>
      </c:pivotFmt>
      <c:pivotFmt>
        <c:idx val="12"/>
        <c:spPr>
          <a:solidFill>
            <a:srgbClr val="FEF6F0"/>
          </a:solidFill>
          <a:ln w="19050">
            <a:noFill/>
          </a:ln>
          <a:effectLst/>
        </c:spPr>
      </c:pivotFmt>
      <c:pivotFmt>
        <c:idx val="1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FF"/>
          </a:solidFill>
          <a:ln w="19050">
            <a:noFill/>
          </a:ln>
          <a:effectLst/>
        </c:spPr>
      </c:pivotFmt>
      <c:pivotFmt>
        <c:idx val="15"/>
        <c:spPr>
          <a:solidFill>
            <a:schemeClr val="accent6">
              <a:lumMod val="50000"/>
            </a:schemeClr>
          </a:solidFill>
          <a:ln w="19050">
            <a:noFill/>
          </a:ln>
          <a:effectLst/>
        </c:spPr>
      </c:pivotFmt>
      <c:pivotFmt>
        <c:idx val="16"/>
        <c:spPr>
          <a:solidFill>
            <a:srgbClr val="FEF6F0"/>
          </a:solidFill>
          <a:ln w="19050">
            <a:noFill/>
          </a:ln>
          <a:effectLst/>
        </c:spPr>
      </c:pivotFmt>
      <c:pivotFmt>
        <c:idx val="1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FFFFF"/>
          </a:solidFill>
          <a:ln w="19050">
            <a:noFill/>
          </a:ln>
          <a:effectLst/>
        </c:spPr>
      </c:pivotFmt>
      <c:pivotFmt>
        <c:idx val="19"/>
        <c:spPr>
          <a:solidFill>
            <a:schemeClr val="accent6">
              <a:lumMod val="50000"/>
            </a:schemeClr>
          </a:solidFill>
          <a:ln w="19050">
            <a:noFill/>
          </a:ln>
          <a:effectLst/>
        </c:spPr>
      </c:pivotFmt>
      <c:pivotFmt>
        <c:idx val="20"/>
        <c:spPr>
          <a:solidFill>
            <a:srgbClr val="FEF6F0"/>
          </a:solidFill>
          <a:ln w="19050">
            <a:no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8F112F"/>
          </a:solidFill>
          <a:ln w="19050">
            <a:solidFill>
              <a:srgbClr val="8F112F"/>
            </a:solidFill>
          </a:ln>
          <a:effectLst/>
        </c:spPr>
      </c:pivotFmt>
      <c:pivotFmt>
        <c:idx val="23"/>
        <c:spPr>
          <a:solidFill>
            <a:srgbClr val="FFFFFF"/>
          </a:solidFill>
          <a:ln w="19050">
            <a:solidFill>
              <a:schemeClr val="lt1"/>
            </a:solidFill>
          </a:ln>
          <a:effectLst/>
        </c:spPr>
      </c:pivotFmt>
      <c:pivotFmt>
        <c:idx val="24"/>
        <c:spPr>
          <a:solidFill>
            <a:srgbClr val="FFFFFF"/>
          </a:solidFill>
          <a:ln w="19050">
            <a:solidFill>
              <a:schemeClr val="lt1"/>
            </a:solidFill>
          </a:ln>
          <a:effectLst/>
        </c:spPr>
      </c:pivotFmt>
      <c:pivotFmt>
        <c:idx val="25"/>
        <c:spPr>
          <a:solidFill>
            <a:srgbClr val="FFFFFF"/>
          </a:solidFill>
          <a:ln w="19050">
            <a:solidFill>
              <a:schemeClr val="lt1"/>
            </a:solidFill>
          </a:ln>
          <a:effectLst/>
        </c:spPr>
      </c:pivotFmt>
    </c:pivotFmts>
    <c:plotArea>
      <c:layout>
        <c:manualLayout>
          <c:layoutTarget val="inner"/>
          <c:xMode val="edge"/>
          <c:yMode val="edge"/>
          <c:x val="0.14432989690721648"/>
          <c:y val="0.30514705882352944"/>
          <c:w val="0.85567010309278346"/>
          <c:h val="0.61029411764705888"/>
        </c:manualLayout>
      </c:layout>
      <c:doughnutChart>
        <c:varyColors val="1"/>
        <c:ser>
          <c:idx val="0"/>
          <c:order val="0"/>
          <c:tx>
            <c:strRef>
              <c:f>Pivot_Tables_Performance!$J$55</c:f>
              <c:strCache>
                <c:ptCount val="1"/>
                <c:pt idx="0">
                  <c:v>Total</c:v>
                </c:pt>
              </c:strCache>
            </c:strRef>
          </c:tx>
          <c:dPt>
            <c:idx val="0"/>
            <c:bubble3D val="0"/>
            <c:spPr>
              <a:solidFill>
                <a:srgbClr val="8F112F"/>
              </a:solidFill>
              <a:ln w="19050">
                <a:solidFill>
                  <a:srgbClr val="8F112F"/>
                </a:solidFill>
              </a:ln>
              <a:effectLst/>
            </c:spPr>
            <c:extLst>
              <c:ext xmlns:c16="http://schemas.microsoft.com/office/drawing/2014/chart" uri="{C3380CC4-5D6E-409C-BE32-E72D297353CC}">
                <c16:uniqueId val="{0000000B-D98B-4B88-9FF1-BCFB8B1A979E}"/>
              </c:ext>
            </c:extLst>
          </c:dPt>
          <c:dPt>
            <c:idx val="1"/>
            <c:bubble3D val="0"/>
            <c:spPr>
              <a:solidFill>
                <a:srgbClr val="FFFFFF"/>
              </a:solidFill>
              <a:ln w="19050">
                <a:solidFill>
                  <a:schemeClr val="lt1"/>
                </a:solidFill>
              </a:ln>
              <a:effectLst/>
            </c:spPr>
            <c:extLst>
              <c:ext xmlns:c16="http://schemas.microsoft.com/office/drawing/2014/chart" uri="{C3380CC4-5D6E-409C-BE32-E72D297353CC}">
                <c16:uniqueId val="{0000000A-D98B-4B88-9FF1-BCFB8B1A979E}"/>
              </c:ext>
            </c:extLst>
          </c:dPt>
          <c:dPt>
            <c:idx val="2"/>
            <c:bubble3D val="0"/>
            <c:spPr>
              <a:solidFill>
                <a:srgbClr val="FFFFFF"/>
              </a:solidFill>
              <a:ln w="19050">
                <a:solidFill>
                  <a:schemeClr val="lt1"/>
                </a:solidFill>
              </a:ln>
              <a:effectLst/>
            </c:spPr>
            <c:extLst>
              <c:ext xmlns:c16="http://schemas.microsoft.com/office/drawing/2014/chart" uri="{C3380CC4-5D6E-409C-BE32-E72D297353CC}">
                <c16:uniqueId val="{00000009-D98B-4B88-9FF1-BCFB8B1A979E}"/>
              </c:ext>
            </c:extLst>
          </c:dPt>
          <c:dPt>
            <c:idx val="3"/>
            <c:bubble3D val="0"/>
            <c:spPr>
              <a:solidFill>
                <a:srgbClr val="FFFFFF"/>
              </a:solidFill>
              <a:ln w="19050">
                <a:solidFill>
                  <a:schemeClr val="lt1"/>
                </a:solidFill>
              </a:ln>
              <a:effectLst/>
            </c:spPr>
            <c:extLst>
              <c:ext xmlns:c16="http://schemas.microsoft.com/office/drawing/2014/chart" uri="{C3380CC4-5D6E-409C-BE32-E72D297353CC}">
                <c16:uniqueId val="{00000008-D98B-4B88-9FF1-BCFB8B1A979E}"/>
              </c:ext>
            </c:extLst>
          </c:dPt>
          <c:cat>
            <c:strRef>
              <c:f>Pivot_Tables_Performance!$I$56:$I$60</c:f>
              <c:strCache>
                <c:ptCount val="4"/>
                <c:pt idx="0">
                  <c:v>Chairs</c:v>
                </c:pt>
                <c:pt idx="1">
                  <c:v>Furnishings</c:v>
                </c:pt>
                <c:pt idx="2">
                  <c:v>Tables</c:v>
                </c:pt>
                <c:pt idx="3">
                  <c:v>Bookcases</c:v>
                </c:pt>
              </c:strCache>
            </c:strRef>
          </c:cat>
          <c:val>
            <c:numRef>
              <c:f>Pivot_Tables_Performance!$J$56:$J$60</c:f>
              <c:numCache>
                <c:formatCode>[$$-409]#,##0</c:formatCode>
                <c:ptCount val="4"/>
                <c:pt idx="0">
                  <c:v>36471.007599999997</c:v>
                </c:pt>
                <c:pt idx="1">
                  <c:v>19550.057000000001</c:v>
                </c:pt>
                <c:pt idx="2">
                  <c:v>14686.6672</c:v>
                </c:pt>
                <c:pt idx="3">
                  <c:v>8679.65</c:v>
                </c:pt>
              </c:numCache>
            </c:numRef>
          </c:val>
          <c:extLst>
            <c:ext xmlns:c16="http://schemas.microsoft.com/office/drawing/2014/chart" uri="{C3380CC4-5D6E-409C-BE32-E72D297353CC}">
              <c16:uniqueId val="{00000006-D98B-4B88-9FF1-BCFB8B1A979E}"/>
            </c:ext>
          </c:extLst>
        </c:ser>
        <c:dLbls>
          <c:showLegendKey val="0"/>
          <c:showVal val="0"/>
          <c:showCatName val="0"/>
          <c:showSerName val="0"/>
          <c:showPercent val="0"/>
          <c:showBubbleSize val="0"/>
          <c:showLeaderLines val="1"/>
        </c:dLbls>
        <c:firstSliceAng val="360"/>
        <c:holeSize val="5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[Bayan_Sales_Dashboard.xlsm]Pivot_Tables_Performance!Profit by segement</c:name>
    <c:fmtId val="20"/>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8F112F"/>
          </a:solidFill>
          <a:ln>
            <a:noFill/>
          </a:ln>
          <a:effectLst/>
        </c:spPr>
      </c:pivotFmt>
      <c:pivotFmt>
        <c:idx val="2"/>
        <c:spPr>
          <a:solidFill>
            <a:schemeClr val="accent6">
              <a:lumMod val="50000"/>
            </a:schemeClr>
          </a:solidFill>
          <a:ln>
            <a:noFill/>
          </a:ln>
          <a:effectLst/>
        </c:spPr>
      </c:pivotFmt>
      <c:pivotFmt>
        <c:idx val="3"/>
        <c:spPr>
          <a:solidFill>
            <a:schemeClr val="accent6">
              <a:lumMod val="75000"/>
            </a:schemeClr>
          </a:solidFill>
          <a:ln>
            <a:noFill/>
          </a:ln>
          <a:effectLst/>
        </c:spPr>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8F112F"/>
          </a:solidFill>
          <a:ln>
            <a:noFill/>
          </a:ln>
          <a:effectLst/>
        </c:spPr>
      </c:pivotFmt>
      <c:pivotFmt>
        <c:idx val="6"/>
        <c:spPr>
          <a:solidFill>
            <a:schemeClr val="accent6">
              <a:lumMod val="50000"/>
            </a:schemeClr>
          </a:solidFill>
          <a:ln>
            <a:noFill/>
          </a:ln>
          <a:effectLst/>
        </c:spPr>
      </c:pivotFmt>
      <c:pivotFmt>
        <c:idx val="7"/>
        <c:spPr>
          <a:solidFill>
            <a:schemeClr val="accent6">
              <a:lumMod val="75000"/>
            </a:schemeClr>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rgbClr val="8F112F"/>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8F112F"/>
          </a:solidFill>
          <a:ln>
            <a:noFill/>
          </a:ln>
          <a:effectLst/>
        </c:spPr>
      </c:pivotFmt>
      <c:pivotFmt>
        <c:idx val="10"/>
        <c:spPr>
          <a:solidFill>
            <a:schemeClr val="accent6">
              <a:lumMod val="50000"/>
            </a:schemeClr>
          </a:solidFill>
          <a:ln>
            <a:noFill/>
          </a:ln>
          <a:effectLst/>
        </c:spPr>
      </c:pivotFmt>
      <c:pivotFmt>
        <c:idx val="11"/>
        <c:spPr>
          <a:solidFill>
            <a:schemeClr val="accent6">
              <a:lumMod val="75000"/>
            </a:schemeClr>
          </a:solidFill>
          <a:ln>
            <a:noFill/>
          </a:ln>
          <a:effectLst/>
        </c:spPr>
      </c:pivotFmt>
    </c:pivotFmts>
    <c:plotArea>
      <c:layout>
        <c:manualLayout>
          <c:layoutTarget val="inner"/>
          <c:xMode val="edge"/>
          <c:yMode val="edge"/>
          <c:x val="3.2323794891492223E-2"/>
          <c:y val="1.384083044982699E-2"/>
          <c:w val="0.95910633122079247"/>
          <c:h val="0.89569915829486835"/>
        </c:manualLayout>
      </c:layout>
      <c:barChart>
        <c:barDir val="col"/>
        <c:grouping val="clustered"/>
        <c:varyColors val="0"/>
        <c:ser>
          <c:idx val="0"/>
          <c:order val="0"/>
          <c:tx>
            <c:strRef>
              <c:f>Pivot_Tables_Performance!$F$55</c:f>
              <c:strCache>
                <c:ptCount val="1"/>
                <c:pt idx="0">
                  <c:v>Total</c:v>
                </c:pt>
              </c:strCache>
            </c:strRef>
          </c:tx>
          <c:spPr>
            <a:solidFill>
              <a:schemeClr val="accent1"/>
            </a:solidFill>
            <a:ln>
              <a:noFill/>
            </a:ln>
            <a:effectLst/>
          </c:spPr>
          <c:invertIfNegative val="0"/>
          <c:dPt>
            <c:idx val="0"/>
            <c:invertIfNegative val="0"/>
            <c:bubble3D val="0"/>
            <c:spPr>
              <a:solidFill>
                <a:srgbClr val="8F112F"/>
              </a:solidFill>
              <a:ln>
                <a:noFill/>
              </a:ln>
              <a:effectLst/>
            </c:spPr>
            <c:extLst>
              <c:ext xmlns:c16="http://schemas.microsoft.com/office/drawing/2014/chart" uri="{C3380CC4-5D6E-409C-BE32-E72D297353CC}">
                <c16:uniqueId val="{00000001-0957-44B1-9D29-E7D867FCC5CF}"/>
              </c:ext>
            </c:extLst>
          </c:dPt>
          <c:dPt>
            <c:idx val="1"/>
            <c:invertIfNegative val="0"/>
            <c:bubble3D val="0"/>
            <c:spPr>
              <a:solidFill>
                <a:schemeClr val="accent6">
                  <a:lumMod val="50000"/>
                </a:schemeClr>
              </a:solidFill>
              <a:ln>
                <a:noFill/>
              </a:ln>
              <a:effectLst/>
            </c:spPr>
            <c:extLst>
              <c:ext xmlns:c16="http://schemas.microsoft.com/office/drawing/2014/chart" uri="{C3380CC4-5D6E-409C-BE32-E72D297353CC}">
                <c16:uniqueId val="{00000003-0957-44B1-9D29-E7D867FCC5CF}"/>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5-0957-44B1-9D29-E7D867FCC5CF}"/>
              </c:ext>
            </c:extLst>
          </c:dPt>
          <c:dLbls>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rgbClr val="8F112F"/>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Pivot_Tables_Performance!$E$56:$E$59</c:f>
              <c:strCache>
                <c:ptCount val="3"/>
                <c:pt idx="0">
                  <c:v>Consumer</c:v>
                </c:pt>
                <c:pt idx="1">
                  <c:v>Corporate</c:v>
                </c:pt>
                <c:pt idx="2">
                  <c:v>Home Office</c:v>
                </c:pt>
              </c:strCache>
            </c:strRef>
          </c:cat>
          <c:val>
            <c:numRef>
              <c:f>Pivot_Tables_Performance!$F$56:$F$59</c:f>
              <c:numCache>
                <c:formatCode>[$$-409]#,##0</c:formatCode>
                <c:ptCount val="3"/>
                <c:pt idx="0">
                  <c:v>39313.706400000003</c:v>
                </c:pt>
                <c:pt idx="1">
                  <c:v>25854.109899999999</c:v>
                </c:pt>
                <c:pt idx="2">
                  <c:v>14219.565500000001</c:v>
                </c:pt>
              </c:numCache>
            </c:numRef>
          </c:val>
          <c:extLst>
            <c:ext xmlns:c16="http://schemas.microsoft.com/office/drawing/2014/chart" uri="{C3380CC4-5D6E-409C-BE32-E72D297353CC}">
              <c16:uniqueId val="{00000006-0957-44B1-9D29-E7D867FCC5CF}"/>
            </c:ext>
          </c:extLst>
        </c:ser>
        <c:dLbls>
          <c:showLegendKey val="0"/>
          <c:showVal val="0"/>
          <c:showCatName val="0"/>
          <c:showSerName val="0"/>
          <c:showPercent val="0"/>
          <c:showBubbleSize val="0"/>
        </c:dLbls>
        <c:gapWidth val="58"/>
        <c:overlap val="-44"/>
        <c:axId val="602448224"/>
        <c:axId val="602437664"/>
      </c:barChart>
      <c:catAx>
        <c:axId val="602448224"/>
        <c:scaling>
          <c:orientation val="minMax"/>
        </c:scaling>
        <c:delete val="0"/>
        <c:axPos val="b"/>
        <c:numFmt formatCode="General" sourceLinked="1"/>
        <c:majorTickMark val="out"/>
        <c:minorTickMark val="none"/>
        <c:tickLblPos val="nextTo"/>
        <c:spPr>
          <a:noFill/>
          <a:ln w="3175" cap="rnd" cmpd="dbl" algn="ctr">
            <a:noFill/>
            <a:prstDash val="solid"/>
            <a:round/>
            <a:headEnd type="none" w="sm" len="sm"/>
            <a:tailEnd w="lg" len="sm"/>
          </a:ln>
          <a:effectLst/>
        </c:spPr>
        <c:txPr>
          <a:bodyPr rot="0" spcFirstLastPara="1" vertOverflow="ellipsis" wrap="square" anchor="ctr" anchorCtr="1"/>
          <a:lstStyle/>
          <a:p>
            <a:pPr>
              <a:defRPr sz="700" b="1" i="0" u="none" strike="noStrike" kern="1200" baseline="0">
                <a:solidFill>
                  <a:srgbClr val="FF0000"/>
                </a:solidFill>
                <a:latin typeface="+mn-lt"/>
                <a:ea typeface="+mn-ea"/>
                <a:cs typeface="+mn-cs"/>
              </a:defRPr>
            </a:pPr>
            <a:endParaRPr lang="en-NG"/>
          </a:p>
        </c:txPr>
        <c:crossAx val="602437664"/>
        <c:crosses val="autoZero"/>
        <c:auto val="1"/>
        <c:lblAlgn val="l"/>
        <c:lblOffset val="1"/>
        <c:tickMarkSkip val="12"/>
        <c:noMultiLvlLbl val="0"/>
      </c:catAx>
      <c:valAx>
        <c:axId val="602437664"/>
        <c:scaling>
          <c:orientation val="minMax"/>
        </c:scaling>
        <c:delete val="1"/>
        <c:axPos val="l"/>
        <c:numFmt formatCode="[$$-409]#,##0" sourceLinked="1"/>
        <c:majorTickMark val="out"/>
        <c:minorTickMark val="none"/>
        <c:tickLblPos val="nextTo"/>
        <c:crossAx val="602448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[Bayan_Sales_Dashboard.xlsm]Pivot_Tables_Performance!Profit by segement</c:name>
    <c:fmtId val="3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8F112F"/>
          </a:solidFill>
          <a:ln w="19050">
            <a:solidFill>
              <a:srgbClr val="8F112F"/>
            </a:solidFill>
          </a:ln>
          <a:effectLst/>
        </c:spPr>
      </c:pivotFmt>
      <c:pivotFmt>
        <c:idx val="7"/>
        <c:spPr>
          <a:solidFill>
            <a:srgbClr val="FFFFFF"/>
          </a:solidFill>
          <a:ln w="19050">
            <a:noFill/>
          </a:ln>
          <a:effectLst/>
        </c:spPr>
      </c:pivotFmt>
      <c:pivotFmt>
        <c:idx val="8"/>
        <c:spPr>
          <a:solidFill>
            <a:srgbClr val="FFFFFF"/>
          </a:solidFill>
          <a:ln w="19050">
            <a:noFill/>
          </a:ln>
          <a:effectLst/>
        </c:spPr>
      </c:pivotFmt>
    </c:pivotFmts>
    <c:plotArea>
      <c:layout>
        <c:manualLayout>
          <c:layoutTarget val="inner"/>
          <c:xMode val="edge"/>
          <c:yMode val="edge"/>
          <c:x val="0.14432989690721648"/>
          <c:y val="0.30514705882352944"/>
          <c:w val="0.85567010309278346"/>
          <c:h val="0.61029411764705888"/>
        </c:manualLayout>
      </c:layout>
      <c:doughnutChart>
        <c:varyColors val="1"/>
        <c:ser>
          <c:idx val="0"/>
          <c:order val="0"/>
          <c:tx>
            <c:strRef>
              <c:f>Pivot_Tables_Performance!$F$55</c:f>
              <c:strCache>
                <c:ptCount val="1"/>
                <c:pt idx="0">
                  <c:v>Total</c:v>
                </c:pt>
              </c:strCache>
            </c:strRef>
          </c:tx>
          <c:spPr>
            <a:ln>
              <a:noFill/>
            </a:ln>
          </c:spPr>
          <c:dPt>
            <c:idx val="0"/>
            <c:bubble3D val="0"/>
            <c:spPr>
              <a:solidFill>
                <a:srgbClr val="8F112F"/>
              </a:solidFill>
              <a:ln w="19050">
                <a:solidFill>
                  <a:srgbClr val="8F112F"/>
                </a:solidFill>
              </a:ln>
              <a:effectLst/>
            </c:spPr>
            <c:extLst>
              <c:ext xmlns:c16="http://schemas.microsoft.com/office/drawing/2014/chart" uri="{C3380CC4-5D6E-409C-BE32-E72D297353CC}">
                <c16:uniqueId val="{00000001-5C63-40EC-BD33-9E28E4D2AED9}"/>
              </c:ext>
            </c:extLst>
          </c:dPt>
          <c:dPt>
            <c:idx val="1"/>
            <c:bubble3D val="0"/>
            <c:spPr>
              <a:solidFill>
                <a:srgbClr val="FFFFFF"/>
              </a:solidFill>
              <a:ln w="19050">
                <a:noFill/>
              </a:ln>
              <a:effectLst/>
            </c:spPr>
            <c:extLst>
              <c:ext xmlns:c16="http://schemas.microsoft.com/office/drawing/2014/chart" uri="{C3380CC4-5D6E-409C-BE32-E72D297353CC}">
                <c16:uniqueId val="{00000003-5C63-40EC-BD33-9E28E4D2AED9}"/>
              </c:ext>
            </c:extLst>
          </c:dPt>
          <c:dPt>
            <c:idx val="2"/>
            <c:bubble3D val="0"/>
            <c:spPr>
              <a:solidFill>
                <a:srgbClr val="FFFFFF"/>
              </a:solidFill>
              <a:ln w="19050">
                <a:noFill/>
              </a:ln>
              <a:effectLst/>
            </c:spPr>
            <c:extLst>
              <c:ext xmlns:c16="http://schemas.microsoft.com/office/drawing/2014/chart" uri="{C3380CC4-5D6E-409C-BE32-E72D297353CC}">
                <c16:uniqueId val="{00000005-5C63-40EC-BD33-9E28E4D2AED9}"/>
              </c:ext>
            </c:extLst>
          </c:dPt>
          <c:cat>
            <c:strRef>
              <c:f>Pivot_Tables_Performance!$E$56:$E$59</c:f>
              <c:strCache>
                <c:ptCount val="3"/>
                <c:pt idx="0">
                  <c:v>Consumer</c:v>
                </c:pt>
                <c:pt idx="1">
                  <c:v>Corporate</c:v>
                </c:pt>
                <c:pt idx="2">
                  <c:v>Home Office</c:v>
                </c:pt>
              </c:strCache>
            </c:strRef>
          </c:cat>
          <c:val>
            <c:numRef>
              <c:f>Pivot_Tables_Performance!$F$56:$F$59</c:f>
              <c:numCache>
                <c:formatCode>[$$-409]#,##0</c:formatCode>
                <c:ptCount val="3"/>
                <c:pt idx="0">
                  <c:v>39313.706400000003</c:v>
                </c:pt>
                <c:pt idx="1">
                  <c:v>25854.109899999999</c:v>
                </c:pt>
                <c:pt idx="2">
                  <c:v>14219.565500000001</c:v>
                </c:pt>
              </c:numCache>
            </c:numRef>
          </c:val>
          <c:extLst>
            <c:ext xmlns:c16="http://schemas.microsoft.com/office/drawing/2014/chart" uri="{C3380CC4-5D6E-409C-BE32-E72D297353CC}">
              <c16:uniqueId val="{00000006-5C63-40EC-BD33-9E28E4D2AED9}"/>
            </c:ext>
          </c:extLst>
        </c:ser>
        <c:dLbls>
          <c:showLegendKey val="0"/>
          <c:showVal val="0"/>
          <c:showCatName val="0"/>
          <c:showSerName val="0"/>
          <c:showPercent val="0"/>
          <c:showBubbleSize val="0"/>
          <c:showLeaderLines val="1"/>
        </c:dLbls>
        <c:firstSliceAng val="0"/>
        <c:holeSize val="4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[Bayan_Sales_Dashboard.xlsm]Pivot_Tables_Performance!Profit by segement</c:name>
    <c:fmtId val="3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FF"/>
          </a:solidFill>
          <a:ln w="19050">
            <a:noFill/>
          </a:ln>
          <a:effectLst/>
        </c:spPr>
      </c:pivotFmt>
      <c:pivotFmt>
        <c:idx val="11"/>
        <c:spPr>
          <a:solidFill>
            <a:schemeClr val="accent6">
              <a:lumMod val="50000"/>
            </a:schemeClr>
          </a:solidFill>
          <a:ln w="19050">
            <a:noFill/>
          </a:ln>
          <a:effectLst/>
        </c:spPr>
      </c:pivotFmt>
      <c:pivotFmt>
        <c:idx val="12"/>
        <c:spPr>
          <a:solidFill>
            <a:srgbClr val="FEF6F0"/>
          </a:solidFill>
          <a:ln w="19050">
            <a:noFill/>
          </a:ln>
          <a:effectLst/>
        </c:spPr>
      </c:pivotFmt>
    </c:pivotFmts>
    <c:plotArea>
      <c:layout>
        <c:manualLayout>
          <c:layoutTarget val="inner"/>
          <c:xMode val="edge"/>
          <c:yMode val="edge"/>
          <c:x val="0.14432989690721648"/>
          <c:y val="0.30514705882352944"/>
          <c:w val="0.85567010309278346"/>
          <c:h val="0.61029411764705888"/>
        </c:manualLayout>
      </c:layout>
      <c:doughnutChart>
        <c:varyColors val="1"/>
        <c:ser>
          <c:idx val="0"/>
          <c:order val="0"/>
          <c:tx>
            <c:strRef>
              <c:f>Pivot_Tables_Performance!$F$55</c:f>
              <c:strCache>
                <c:ptCount val="1"/>
                <c:pt idx="0">
                  <c:v>Total</c:v>
                </c:pt>
              </c:strCache>
            </c:strRef>
          </c:tx>
          <c:spPr>
            <a:ln>
              <a:noFill/>
            </a:ln>
          </c:spPr>
          <c:dPt>
            <c:idx val="0"/>
            <c:bubble3D val="0"/>
            <c:spPr>
              <a:solidFill>
                <a:srgbClr val="FFFFFF"/>
              </a:solidFill>
              <a:ln w="19050">
                <a:noFill/>
              </a:ln>
              <a:effectLst/>
            </c:spPr>
            <c:extLst>
              <c:ext xmlns:c16="http://schemas.microsoft.com/office/drawing/2014/chart" uri="{C3380CC4-5D6E-409C-BE32-E72D297353CC}">
                <c16:uniqueId val="{00000001-5C63-40EC-BD33-9E28E4D2AED9}"/>
              </c:ext>
            </c:extLst>
          </c:dPt>
          <c:dPt>
            <c:idx val="1"/>
            <c:bubble3D val="0"/>
            <c:spPr>
              <a:solidFill>
                <a:schemeClr val="accent6">
                  <a:lumMod val="50000"/>
                </a:schemeClr>
              </a:solidFill>
              <a:ln w="19050">
                <a:noFill/>
              </a:ln>
              <a:effectLst/>
            </c:spPr>
            <c:extLst>
              <c:ext xmlns:c16="http://schemas.microsoft.com/office/drawing/2014/chart" uri="{C3380CC4-5D6E-409C-BE32-E72D297353CC}">
                <c16:uniqueId val="{00000003-5C63-40EC-BD33-9E28E4D2AED9}"/>
              </c:ext>
            </c:extLst>
          </c:dPt>
          <c:dPt>
            <c:idx val="2"/>
            <c:bubble3D val="0"/>
            <c:spPr>
              <a:solidFill>
                <a:srgbClr val="FEF6F0"/>
              </a:solidFill>
              <a:ln w="19050">
                <a:noFill/>
              </a:ln>
              <a:effectLst/>
            </c:spPr>
            <c:extLst>
              <c:ext xmlns:c16="http://schemas.microsoft.com/office/drawing/2014/chart" uri="{C3380CC4-5D6E-409C-BE32-E72D297353CC}">
                <c16:uniqueId val="{00000005-5C63-40EC-BD33-9E28E4D2AED9}"/>
              </c:ext>
            </c:extLst>
          </c:dPt>
          <c:cat>
            <c:strRef>
              <c:f>Pivot_Tables_Performance!$E$56:$E$59</c:f>
              <c:strCache>
                <c:ptCount val="3"/>
                <c:pt idx="0">
                  <c:v>Consumer</c:v>
                </c:pt>
                <c:pt idx="1">
                  <c:v>Corporate</c:v>
                </c:pt>
                <c:pt idx="2">
                  <c:v>Home Office</c:v>
                </c:pt>
              </c:strCache>
            </c:strRef>
          </c:cat>
          <c:val>
            <c:numRef>
              <c:f>Pivot_Tables_Performance!$F$56:$F$59</c:f>
              <c:numCache>
                <c:formatCode>[$$-409]#,##0</c:formatCode>
                <c:ptCount val="3"/>
                <c:pt idx="0">
                  <c:v>39313.706400000003</c:v>
                </c:pt>
                <c:pt idx="1">
                  <c:v>25854.109899999999</c:v>
                </c:pt>
                <c:pt idx="2">
                  <c:v>14219.565500000001</c:v>
                </c:pt>
              </c:numCache>
            </c:numRef>
          </c:val>
          <c:extLst>
            <c:ext xmlns:c16="http://schemas.microsoft.com/office/drawing/2014/chart" uri="{C3380CC4-5D6E-409C-BE32-E72D297353CC}">
              <c16:uniqueId val="{00000006-5C63-40EC-BD33-9E28E4D2AED9}"/>
            </c:ext>
          </c:extLst>
        </c:ser>
        <c:dLbls>
          <c:showLegendKey val="0"/>
          <c:showVal val="0"/>
          <c:showCatName val="0"/>
          <c:showSerName val="0"/>
          <c:showPercent val="0"/>
          <c:showBubbleSize val="0"/>
          <c:showLeaderLines val="1"/>
        </c:dLbls>
        <c:firstSliceAng val="190"/>
        <c:holeSize val="4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[Bayan_Sales_Dashboard.xlsm]Pivot_Tables_Performance!Profit by segement</c:name>
    <c:fmtId val="3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c:spPr>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FFFF"/>
          </a:solidFill>
          <a:ln w="19050">
            <a:noFill/>
          </a:ln>
          <a:effectLst/>
        </c:spPr>
      </c:pivotFmt>
      <c:pivotFmt>
        <c:idx val="15"/>
        <c:spPr>
          <a:solidFill>
            <a:srgbClr val="FFFFFF"/>
          </a:solidFill>
          <a:ln w="19050">
            <a:noFill/>
          </a:ln>
          <a:effectLst/>
        </c:spPr>
      </c:pivotFmt>
      <c:pivotFmt>
        <c:idx val="16"/>
        <c:spPr>
          <a:solidFill>
            <a:schemeClr val="accent6">
              <a:lumMod val="75000"/>
            </a:schemeClr>
          </a:solidFill>
          <a:ln w="19050">
            <a:noFill/>
          </a:ln>
          <a:effectLst/>
        </c:spPr>
      </c:pivotFmt>
    </c:pivotFmts>
    <c:plotArea>
      <c:layout>
        <c:manualLayout>
          <c:layoutTarget val="inner"/>
          <c:xMode val="edge"/>
          <c:yMode val="edge"/>
          <c:x val="0.14432989690721648"/>
          <c:y val="0.30514705882352944"/>
          <c:w val="0.85567010309278346"/>
          <c:h val="0.61029411764705888"/>
        </c:manualLayout>
      </c:layout>
      <c:doughnutChart>
        <c:varyColors val="1"/>
        <c:ser>
          <c:idx val="0"/>
          <c:order val="0"/>
          <c:tx>
            <c:strRef>
              <c:f>Pivot_Tables_Performance!$F$55</c:f>
              <c:strCache>
                <c:ptCount val="1"/>
                <c:pt idx="0">
                  <c:v>Total</c:v>
                </c:pt>
              </c:strCache>
            </c:strRef>
          </c:tx>
          <c:spPr>
            <a:ln>
              <a:noFill/>
            </a:ln>
          </c:spPr>
          <c:dPt>
            <c:idx val="0"/>
            <c:bubble3D val="0"/>
            <c:spPr>
              <a:solidFill>
                <a:srgbClr val="FFFFFF"/>
              </a:solidFill>
              <a:ln w="19050">
                <a:noFill/>
              </a:ln>
              <a:effectLst/>
            </c:spPr>
            <c:extLst>
              <c:ext xmlns:c16="http://schemas.microsoft.com/office/drawing/2014/chart" uri="{C3380CC4-5D6E-409C-BE32-E72D297353CC}">
                <c16:uniqueId val="{00000001-5C63-40EC-BD33-9E28E4D2AED9}"/>
              </c:ext>
            </c:extLst>
          </c:dPt>
          <c:dPt>
            <c:idx val="1"/>
            <c:bubble3D val="0"/>
            <c:spPr>
              <a:solidFill>
                <a:srgbClr val="FFFFFF"/>
              </a:solidFill>
              <a:ln w="19050">
                <a:noFill/>
              </a:ln>
              <a:effectLst/>
            </c:spPr>
            <c:extLst>
              <c:ext xmlns:c16="http://schemas.microsoft.com/office/drawing/2014/chart" uri="{C3380CC4-5D6E-409C-BE32-E72D297353CC}">
                <c16:uniqueId val="{00000003-5C63-40EC-BD33-9E28E4D2AED9}"/>
              </c:ext>
            </c:extLst>
          </c:dPt>
          <c:dPt>
            <c:idx val="2"/>
            <c:bubble3D val="0"/>
            <c:spPr>
              <a:solidFill>
                <a:schemeClr val="accent6">
                  <a:lumMod val="75000"/>
                </a:schemeClr>
              </a:solidFill>
              <a:ln w="19050">
                <a:noFill/>
              </a:ln>
              <a:effectLst/>
            </c:spPr>
            <c:extLst>
              <c:ext xmlns:c16="http://schemas.microsoft.com/office/drawing/2014/chart" uri="{C3380CC4-5D6E-409C-BE32-E72D297353CC}">
                <c16:uniqueId val="{00000005-5C63-40EC-BD33-9E28E4D2AED9}"/>
              </c:ext>
            </c:extLst>
          </c:dPt>
          <c:cat>
            <c:strRef>
              <c:f>Pivot_Tables_Performance!$E$56:$E$59</c:f>
              <c:strCache>
                <c:ptCount val="3"/>
                <c:pt idx="0">
                  <c:v>Consumer</c:v>
                </c:pt>
                <c:pt idx="1">
                  <c:v>Corporate</c:v>
                </c:pt>
                <c:pt idx="2">
                  <c:v>Home Office</c:v>
                </c:pt>
              </c:strCache>
            </c:strRef>
          </c:cat>
          <c:val>
            <c:numRef>
              <c:f>Pivot_Tables_Performance!$F$56:$F$59</c:f>
              <c:numCache>
                <c:formatCode>[$$-409]#,##0</c:formatCode>
                <c:ptCount val="3"/>
                <c:pt idx="0">
                  <c:v>39313.706400000003</c:v>
                </c:pt>
                <c:pt idx="1">
                  <c:v>25854.109899999999</c:v>
                </c:pt>
                <c:pt idx="2">
                  <c:v>14219.565500000001</c:v>
                </c:pt>
              </c:numCache>
            </c:numRef>
          </c:val>
          <c:extLst>
            <c:ext xmlns:c16="http://schemas.microsoft.com/office/drawing/2014/chart" uri="{C3380CC4-5D6E-409C-BE32-E72D297353CC}">
              <c16:uniqueId val="{00000006-5C63-40EC-BD33-9E28E4D2AED9}"/>
            </c:ext>
          </c:extLst>
        </c:ser>
        <c:dLbls>
          <c:showLegendKey val="0"/>
          <c:showVal val="0"/>
          <c:showCatName val="0"/>
          <c:showSerName val="0"/>
          <c:showPercent val="0"/>
          <c:showBubbleSize val="0"/>
          <c:showLeaderLines val="1"/>
        </c:dLbls>
        <c:firstSliceAng val="70"/>
        <c:holeSize val="4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2169411683801536"/>
          <c:y val="2.4748985432262446E-2"/>
          <c:w val="0.49566622922134734"/>
          <c:h val="0.95230254329091824"/>
        </c:manualLayout>
      </c:layout>
      <c:barChart>
        <c:barDir val="bar"/>
        <c:grouping val="clustered"/>
        <c:varyColors val="0"/>
        <c:ser>
          <c:idx val="0"/>
          <c:order val="0"/>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Pivot_Tables_Performance!$Z$3:$Z$22</c:f>
              <c:strCache>
                <c:ptCount val="20"/>
                <c:pt idx="0">
                  <c:v>HON 5400 Series Task Chairs for Big and Tall</c:v>
                </c:pt>
                <c:pt idx="1">
                  <c:v>Riverside Palais Royal Lawyers Bookcase, Royale Cherry Finish</c:v>
                </c:pt>
                <c:pt idx="2">
                  <c:v>Bretford Rectangular Conference Table Tops</c:v>
                </c:pt>
                <c:pt idx="3">
                  <c:v>Global Troy Executive Leather Low-Back Tilter</c:v>
                </c:pt>
                <c:pt idx="4">
                  <c:v>SAFCO Arco Folding Chair</c:v>
                </c:pt>
                <c:pt idx="5">
                  <c:v>DMI Eclipse Executive Suite Bookcases</c:v>
                </c:pt>
                <c:pt idx="6">
                  <c:v>Hon Deluxe Fabric Upholstered Stacking Chairs, Rounded Back</c:v>
                </c:pt>
                <c:pt idx="7">
                  <c:v>Chromcraft Bull-Nose Wood Oval Conference Tables &amp; Bases</c:v>
                </c:pt>
                <c:pt idx="8">
                  <c:v>Bush Advantage Collection Racetrack Conference Table</c:v>
                </c:pt>
                <c:pt idx="9">
                  <c:v>GuestStacker Chair with Chrome Finish Legs</c:v>
                </c:pt>
                <c:pt idx="10">
                  <c:v>Office Star - Professional Matrix Back Chair with 2-to-1 Synchro Tilt and Mesh Fabric Seat</c:v>
                </c:pt>
                <c:pt idx="11">
                  <c:v>Global Deluxe High-Back Manager's Chair</c:v>
                </c:pt>
                <c:pt idx="12">
                  <c:v>Hon 4070 Series Pagoda Armless Upholstered Stacking Chairs</c:v>
                </c:pt>
                <c:pt idx="13">
                  <c:v>Chromcraft Round Conference Tables</c:v>
                </c:pt>
                <c:pt idx="14">
                  <c:v>Global Commerce Series High-Back Swivel/Tilt Chairs</c:v>
                </c:pt>
                <c:pt idx="15">
                  <c:v>Hon 4700 Series Mobuis Mid-Back Task Chairs with Adjustable Arms</c:v>
                </c:pt>
                <c:pt idx="16">
                  <c:v>Atlantic Metals Mobile 3-Shelf Bookcases, Custom Colors</c:v>
                </c:pt>
                <c:pt idx="17">
                  <c:v>Hon 94000 Series Round Tables</c:v>
                </c:pt>
                <c:pt idx="18">
                  <c:v>Bretford CR4500 Series Slim Rectangular Table</c:v>
                </c:pt>
                <c:pt idx="19">
                  <c:v>Bevis Oval Conference Table, Walnut</c:v>
                </c:pt>
              </c:strCache>
            </c:strRef>
          </c:cat>
          <c:val>
            <c:numRef>
              <c:f>Pivot_Tables_Performance!$AA$3:$AA$22</c:f>
              <c:numCache>
                <c:formatCode>[$$-409]#,##0</c:formatCode>
                <c:ptCount val="20"/>
                <c:pt idx="0">
                  <c:v>21870.576000000001</c:v>
                </c:pt>
                <c:pt idx="1">
                  <c:v>15610.9656</c:v>
                </c:pt>
                <c:pt idx="2">
                  <c:v>12995.291499999999</c:v>
                </c:pt>
                <c:pt idx="3">
                  <c:v>12975.382</c:v>
                </c:pt>
                <c:pt idx="4">
                  <c:v>11572.78</c:v>
                </c:pt>
                <c:pt idx="5">
                  <c:v>11046.609</c:v>
                </c:pt>
                <c:pt idx="6">
                  <c:v>10637.528</c:v>
                </c:pt>
                <c:pt idx="7">
                  <c:v>9917.64</c:v>
                </c:pt>
                <c:pt idx="8">
                  <c:v>9544.7250000000004</c:v>
                </c:pt>
                <c:pt idx="9">
                  <c:v>9070.9439999999995</c:v>
                </c:pt>
                <c:pt idx="10">
                  <c:v>8774.5</c:v>
                </c:pt>
                <c:pt idx="11">
                  <c:v>8665.1939999999995</c:v>
                </c:pt>
                <c:pt idx="12">
                  <c:v>8430.9969999999994</c:v>
                </c:pt>
                <c:pt idx="13">
                  <c:v>8209.0589999999993</c:v>
                </c:pt>
                <c:pt idx="14">
                  <c:v>7979.44</c:v>
                </c:pt>
                <c:pt idx="15">
                  <c:v>7582.3739999999998</c:v>
                </c:pt>
                <c:pt idx="16">
                  <c:v>7539.7121999999999</c:v>
                </c:pt>
                <c:pt idx="17">
                  <c:v>7404.5</c:v>
                </c:pt>
                <c:pt idx="18">
                  <c:v>7242.768</c:v>
                </c:pt>
                <c:pt idx="19">
                  <c:v>6942.0680000000002</c:v>
                </c:pt>
              </c:numCache>
            </c:numRef>
          </c:val>
          <c:extLst>
            <c:ext xmlns:c16="http://schemas.microsoft.com/office/drawing/2014/chart" uri="{C3380CC4-5D6E-409C-BE32-E72D297353CC}">
              <c16:uniqueId val="{00000000-7F94-4625-B1FD-DF1BA6C65D8F}"/>
            </c:ext>
          </c:extLst>
        </c:ser>
        <c:ser>
          <c:idx val="1"/>
          <c:order val="1"/>
          <c:tx>
            <c:strRef>
              <c:f>Pivot_Tables_Performance!$AA$2</c:f>
              <c:strCache>
                <c:ptCount val="1"/>
                <c:pt idx="0">
                  <c:v>Top_10</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Pivot_Tables_Performance!$AA$3:$AA$12</c:f>
              <c:numCache>
                <c:formatCode>[$$-409]#,##0</c:formatCode>
                <c:ptCount val="10"/>
                <c:pt idx="0">
                  <c:v>21870.576000000001</c:v>
                </c:pt>
                <c:pt idx="1">
                  <c:v>15610.9656</c:v>
                </c:pt>
                <c:pt idx="2">
                  <c:v>12995.291499999999</c:v>
                </c:pt>
                <c:pt idx="3">
                  <c:v>12975.382</c:v>
                </c:pt>
                <c:pt idx="4">
                  <c:v>11572.78</c:v>
                </c:pt>
                <c:pt idx="5">
                  <c:v>11046.609</c:v>
                </c:pt>
                <c:pt idx="6">
                  <c:v>10637.528</c:v>
                </c:pt>
                <c:pt idx="7">
                  <c:v>9917.64</c:v>
                </c:pt>
                <c:pt idx="8">
                  <c:v>9544.7250000000004</c:v>
                </c:pt>
                <c:pt idx="9">
                  <c:v>9070.9439999999995</c:v>
                </c:pt>
              </c:numCache>
            </c:numRef>
          </c:val>
          <c:extLst>
            <c:ext xmlns:c16="http://schemas.microsoft.com/office/drawing/2014/chart" uri="{C3380CC4-5D6E-409C-BE32-E72D297353CC}">
              <c16:uniqueId val="{00000001-7F94-4625-B1FD-DF1BA6C65D8F}"/>
            </c:ext>
          </c:extLst>
        </c:ser>
        <c:ser>
          <c:idx val="2"/>
          <c:order val="2"/>
          <c:tx>
            <c:strRef>
              <c:f>Pivot_Tables_Performance!$AB$2</c:f>
              <c:strCache>
                <c:ptCount val="1"/>
                <c:pt idx="0">
                  <c:v>Selected_Product</c:v>
                </c:pt>
              </c:strCache>
            </c:strRef>
          </c:tx>
          <c:spPr>
            <a:solidFill>
              <a:schemeClr val="accent6">
                <a:lumMod val="60000"/>
                <a:lumOff val="40000"/>
              </a:schemeClr>
            </a:solidFill>
            <a:ln>
              <a:noFill/>
            </a:ln>
            <a:effectLst/>
          </c:spPr>
          <c:invertIfNegative val="0"/>
          <c:val>
            <c:numRef>
              <c:f>Pivot_Tables_Performance!$AB$3:$AB$22</c:f>
              <c:numCache>
                <c:formatCode>[$$-409]#,##0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6942.0680000000002</c:v>
                </c:pt>
              </c:numCache>
            </c:numRef>
          </c:val>
          <c:extLst>
            <c:ext xmlns:c16="http://schemas.microsoft.com/office/drawing/2014/chart" uri="{C3380CC4-5D6E-409C-BE32-E72D297353CC}">
              <c16:uniqueId val="{00000002-7F94-4625-B1FD-DF1BA6C65D8F}"/>
            </c:ext>
          </c:extLst>
        </c:ser>
        <c:dLbls>
          <c:showLegendKey val="0"/>
          <c:showVal val="0"/>
          <c:showCatName val="0"/>
          <c:showSerName val="0"/>
          <c:showPercent val="0"/>
          <c:showBubbleSize val="0"/>
        </c:dLbls>
        <c:gapWidth val="25"/>
        <c:overlap val="100"/>
        <c:axId val="543522448"/>
        <c:axId val="543519568"/>
      </c:barChart>
      <c:catAx>
        <c:axId val="54352244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rgbClr val="8F112F"/>
                </a:solidFill>
                <a:latin typeface="+mn-lt"/>
                <a:ea typeface="+mn-ea"/>
                <a:cs typeface="+mn-cs"/>
              </a:defRPr>
            </a:pPr>
            <a:endParaRPr lang="en-NG"/>
          </a:p>
        </c:txPr>
        <c:crossAx val="543519568"/>
        <c:crosses val="autoZero"/>
        <c:auto val="1"/>
        <c:lblAlgn val="ctr"/>
        <c:lblOffset val="100"/>
        <c:noMultiLvlLbl val="0"/>
      </c:catAx>
      <c:valAx>
        <c:axId val="543519568"/>
        <c:scaling>
          <c:orientation val="minMax"/>
        </c:scaling>
        <c:delete val="1"/>
        <c:axPos val="t"/>
        <c:numFmt formatCode="[$$-409]#,##0" sourceLinked="1"/>
        <c:majorTickMark val="none"/>
        <c:minorTickMark val="none"/>
        <c:tickLblPos val="nextTo"/>
        <c:crossAx val="543522448"/>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Pivot_Tables_Performance!$AD$7</c:f>
              <c:strCache>
                <c:ptCount val="1"/>
                <c:pt idx="0">
                  <c:v>Highest Performance </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Pivot_Tables_Performance!$AD$8</c:f>
              <c:numCache>
                <c:formatCode>0%</c:formatCode>
                <c:ptCount val="1"/>
                <c:pt idx="0">
                  <c:v>0.1687903984520143</c:v>
                </c:pt>
              </c:numCache>
            </c:numRef>
          </c:val>
          <c:extLst>
            <c:ext xmlns:c16="http://schemas.microsoft.com/office/drawing/2014/chart" uri="{C3380CC4-5D6E-409C-BE32-E72D297353CC}">
              <c16:uniqueId val="{00000000-95A0-4322-85DE-FAB1E61792A6}"/>
            </c:ext>
          </c:extLst>
        </c:ser>
        <c:ser>
          <c:idx val="1"/>
          <c:order val="1"/>
          <c:tx>
            <c:strRef>
              <c:f>Pivot_Tables_Performance!$AE$7</c:f>
              <c:strCache>
                <c:ptCount val="1"/>
                <c:pt idx="0">
                  <c:v>Others</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Pivot_Tables_Performance!$AE$8</c:f>
              <c:numCache>
                <c:formatCode>0%</c:formatCode>
                <c:ptCount val="1"/>
                <c:pt idx="0">
                  <c:v>0.83120960154798573</c:v>
                </c:pt>
              </c:numCache>
            </c:numRef>
          </c:val>
          <c:extLst>
            <c:ext xmlns:c16="http://schemas.microsoft.com/office/drawing/2014/chart" uri="{C3380CC4-5D6E-409C-BE32-E72D297353CC}">
              <c16:uniqueId val="{00000001-95A0-4322-85DE-FAB1E61792A6}"/>
            </c:ext>
          </c:extLst>
        </c:ser>
        <c:dLbls>
          <c:dLblPos val="ctr"/>
          <c:showLegendKey val="0"/>
          <c:showVal val="1"/>
          <c:showCatName val="0"/>
          <c:showSerName val="0"/>
          <c:showPercent val="0"/>
          <c:showBubbleSize val="0"/>
        </c:dLbls>
        <c:gapWidth val="0"/>
        <c:overlap val="100"/>
        <c:axId val="556790992"/>
        <c:axId val="556800592"/>
      </c:barChart>
      <c:catAx>
        <c:axId val="556790992"/>
        <c:scaling>
          <c:orientation val="minMax"/>
        </c:scaling>
        <c:delete val="1"/>
        <c:axPos val="l"/>
        <c:numFmt formatCode="General" sourceLinked="1"/>
        <c:majorTickMark val="none"/>
        <c:minorTickMark val="none"/>
        <c:tickLblPos val="nextTo"/>
        <c:crossAx val="556800592"/>
        <c:crosses val="autoZero"/>
        <c:auto val="1"/>
        <c:lblAlgn val="ctr"/>
        <c:lblOffset val="100"/>
        <c:noMultiLvlLbl val="0"/>
      </c:catAx>
      <c:valAx>
        <c:axId val="556800592"/>
        <c:scaling>
          <c:orientation val="minMax"/>
        </c:scaling>
        <c:delete val="1"/>
        <c:axPos val="b"/>
        <c:numFmt formatCode="0%" sourceLinked="1"/>
        <c:majorTickMark val="none"/>
        <c:minorTickMark val="none"/>
        <c:tickLblPos val="nextTo"/>
        <c:crossAx val="5567909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60000"/>
                <a:lumOff val="40000"/>
              </a:schemeClr>
            </a:solidFill>
            <a:ln>
              <a:noFill/>
            </a:ln>
          </c:spPr>
          <c:dPt>
            <c:idx val="0"/>
            <c:bubble3D val="0"/>
            <c:spPr>
              <a:solidFill>
                <a:schemeClr val="accent6">
                  <a:lumMod val="60000"/>
                  <a:lumOff val="40000"/>
                </a:schemeClr>
              </a:solidFill>
              <a:ln w="19050">
                <a:noFill/>
              </a:ln>
              <a:effectLst/>
            </c:spPr>
            <c:extLst>
              <c:ext xmlns:c16="http://schemas.microsoft.com/office/drawing/2014/chart" uri="{C3380CC4-5D6E-409C-BE32-E72D297353CC}">
                <c16:uniqueId val="{00000001-7584-4EC7-9A3F-2D6B9A2C5579}"/>
              </c:ext>
            </c:extLst>
          </c:dPt>
          <c:dPt>
            <c:idx val="1"/>
            <c:bubble3D val="0"/>
            <c:spPr>
              <a:solidFill>
                <a:schemeClr val="accent6">
                  <a:lumMod val="50000"/>
                </a:schemeClr>
              </a:solidFill>
              <a:ln w="19050">
                <a:noFill/>
              </a:ln>
              <a:effectLst/>
            </c:spPr>
            <c:extLst>
              <c:ext xmlns:c16="http://schemas.microsoft.com/office/drawing/2014/chart" uri="{C3380CC4-5D6E-409C-BE32-E72D297353CC}">
                <c16:uniqueId val="{00000003-7584-4EC7-9A3F-2D6B9A2C5579}"/>
              </c:ext>
            </c:extLst>
          </c:dPt>
          <c:cat>
            <c:strRef>
              <c:f>Pivot_Tables_Performance!$BA$27:$BB$27</c:f>
              <c:strCache>
                <c:ptCount val="2"/>
                <c:pt idx="0">
                  <c:v>%Profit</c:v>
                </c:pt>
                <c:pt idx="1">
                  <c:v>Others</c:v>
                </c:pt>
              </c:strCache>
            </c:strRef>
          </c:cat>
          <c:val>
            <c:numRef>
              <c:f>Pivot_Tables_Performance!$BA$28:$BB$28</c:f>
              <c:numCache>
                <c:formatCode>0%</c:formatCode>
                <c:ptCount val="2"/>
                <c:pt idx="0">
                  <c:v>6.5683175272216371E-2</c:v>
                </c:pt>
                <c:pt idx="1">
                  <c:v>0.93431682472778366</c:v>
                </c:pt>
              </c:numCache>
            </c:numRef>
          </c:val>
          <c:extLst>
            <c:ext xmlns:c16="http://schemas.microsoft.com/office/drawing/2014/chart" uri="{C3380CC4-5D6E-409C-BE32-E72D297353CC}">
              <c16:uniqueId val="{00000004-7584-4EC7-9A3F-2D6B9A2C5579}"/>
            </c:ext>
          </c:extLst>
        </c:ser>
        <c:dLbls>
          <c:showLegendKey val="0"/>
          <c:showVal val="0"/>
          <c:showCatName val="0"/>
          <c:showSerName val="0"/>
          <c:showPercent val="0"/>
          <c:showBubbleSize val="0"/>
          <c:showLeaderLines val="1"/>
        </c:dLbls>
        <c:firstSliceAng val="0"/>
        <c:holeSize val="5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[Bayan_Sales_Dashboard.xlsm]Pivot_Tables_Performance! Profit by Quarter</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0000">
                  <a:lumMod val="38000"/>
                  <a:lumOff val="62000"/>
                  <a:alpha val="84000"/>
                </a:srgbClr>
              </a:gs>
              <a:gs pos="37000">
                <a:schemeClr val="accent6">
                  <a:lumMod val="75000"/>
                </a:schemeClr>
              </a:gs>
              <a:gs pos="77000">
                <a:schemeClr val="accent6">
                  <a:lumMod val="50000"/>
                </a:schemeClr>
              </a:gs>
              <a:gs pos="51000">
                <a:schemeClr val="accent6">
                  <a:lumMod val="60000"/>
                  <a:lumOff val="40000"/>
                </a:schemeClr>
              </a:gs>
              <a:gs pos="18000">
                <a:srgbClr val="C00000">
                  <a:lumMod val="76000"/>
                  <a:lumOff val="24000"/>
                </a:srgbClr>
              </a:gs>
              <a:gs pos="93000">
                <a:schemeClr val="accent6">
                  <a:lumMod val="24000"/>
                  <a:lumOff val="76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578380727886719E-2"/>
          <c:y val="0.15652173913043479"/>
          <c:w val="0.96177207148469501"/>
          <c:h val="0.65446490927764467"/>
        </c:manualLayout>
      </c:layout>
      <c:areaChart>
        <c:grouping val="standard"/>
        <c:varyColors val="0"/>
        <c:ser>
          <c:idx val="0"/>
          <c:order val="0"/>
          <c:tx>
            <c:strRef>
              <c:f>Pivot_Tables_Performance!$BL$2</c:f>
              <c:strCache>
                <c:ptCount val="1"/>
                <c:pt idx="0">
                  <c:v>Total</c:v>
                </c:pt>
              </c:strCache>
            </c:strRef>
          </c:tx>
          <c:spPr>
            <a:gradFill flip="none" rotWithShape="1">
              <a:gsLst>
                <a:gs pos="0">
                  <a:srgbClr val="FF0000">
                    <a:lumMod val="38000"/>
                    <a:lumOff val="62000"/>
                    <a:alpha val="84000"/>
                  </a:srgbClr>
                </a:gs>
                <a:gs pos="37000">
                  <a:schemeClr val="accent6">
                    <a:lumMod val="75000"/>
                  </a:schemeClr>
                </a:gs>
                <a:gs pos="77000">
                  <a:schemeClr val="accent6">
                    <a:lumMod val="50000"/>
                  </a:schemeClr>
                </a:gs>
                <a:gs pos="51000">
                  <a:schemeClr val="accent6">
                    <a:lumMod val="60000"/>
                    <a:lumOff val="40000"/>
                  </a:schemeClr>
                </a:gs>
                <a:gs pos="18000">
                  <a:srgbClr val="C00000">
                    <a:lumMod val="76000"/>
                    <a:lumOff val="24000"/>
                  </a:srgbClr>
                </a:gs>
                <a:gs pos="93000">
                  <a:schemeClr val="accent6">
                    <a:lumMod val="24000"/>
                    <a:lumOff val="76000"/>
                  </a:schemeClr>
                </a:gs>
              </a:gsLst>
              <a:path path="circle">
                <a:fillToRect l="100000" t="100000"/>
              </a:path>
              <a:tileRect r="-100000" b="-100000"/>
            </a:gradFill>
            <a:ln>
              <a:noFill/>
            </a:ln>
            <a:effectLst/>
          </c:spPr>
          <c:cat>
            <c:multiLvlStrRef>
              <c:f>Pivot_Tables_Performance!$BJ$3:$BK$22</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2014</c:v>
                  </c:pt>
                  <c:pt idx="4">
                    <c:v>2015</c:v>
                  </c:pt>
                  <c:pt idx="8">
                    <c:v>2016</c:v>
                  </c:pt>
                  <c:pt idx="12">
                    <c:v>2017</c:v>
                  </c:pt>
                </c:lvl>
              </c:multiLvlStrCache>
            </c:multiLvlStrRef>
          </c:cat>
          <c:val>
            <c:numRef>
              <c:f>Pivot_Tables_Performance!$BL$3:$BL$22</c:f>
              <c:numCache>
                <c:formatCode>[$$-409]#,##0</c:formatCode>
                <c:ptCount val="16"/>
                <c:pt idx="0">
                  <c:v>2238.0356999999999</c:v>
                </c:pt>
                <c:pt idx="1">
                  <c:v>2787.2563</c:v>
                </c:pt>
                <c:pt idx="2">
                  <c:v>4917.3663999999999</c:v>
                </c:pt>
                <c:pt idx="3">
                  <c:v>6081.8307999999997</c:v>
                </c:pt>
                <c:pt idx="4">
                  <c:v>2558.5299</c:v>
                </c:pt>
                <c:pt idx="5">
                  <c:v>3262.6880000000001</c:v>
                </c:pt>
                <c:pt idx="6">
                  <c:v>5054.5983999999999</c:v>
                </c:pt>
                <c:pt idx="7">
                  <c:v>7898.1875</c:v>
                </c:pt>
                <c:pt idx="8">
                  <c:v>2701.7734</c:v>
                </c:pt>
                <c:pt idx="9">
                  <c:v>5095.3212000000003</c:v>
                </c:pt>
                <c:pt idx="10">
                  <c:v>5220.7467999999999</c:v>
                </c:pt>
                <c:pt idx="11">
                  <c:v>9260.6561999999994</c:v>
                </c:pt>
                <c:pt idx="12">
                  <c:v>2554.9517999999998</c:v>
                </c:pt>
                <c:pt idx="13">
                  <c:v>4646.5896000000002</c:v>
                </c:pt>
                <c:pt idx="14">
                  <c:v>6607.5865999999996</c:v>
                </c:pt>
                <c:pt idx="15">
                  <c:v>8501.2631999999994</c:v>
                </c:pt>
              </c:numCache>
            </c:numRef>
          </c:val>
          <c:extLst>
            <c:ext xmlns:c16="http://schemas.microsoft.com/office/drawing/2014/chart" uri="{C3380CC4-5D6E-409C-BE32-E72D297353CC}">
              <c16:uniqueId val="{00000000-4510-4AF9-99A8-34DD61422EEC}"/>
            </c:ext>
          </c:extLst>
        </c:ser>
        <c:dLbls>
          <c:showLegendKey val="0"/>
          <c:showVal val="0"/>
          <c:showCatName val="0"/>
          <c:showSerName val="0"/>
          <c:showPercent val="0"/>
          <c:showBubbleSize val="0"/>
        </c:dLbls>
        <c:axId val="382547343"/>
        <c:axId val="382547823"/>
      </c:areaChart>
      <c:catAx>
        <c:axId val="382547343"/>
        <c:scaling>
          <c:orientation val="minMax"/>
        </c:scaling>
        <c:delete val="0"/>
        <c:axPos val="b"/>
        <c:numFmt formatCode="General" sourceLinked="1"/>
        <c:majorTickMark val="out"/>
        <c:minorTickMark val="none"/>
        <c:tickLblPos val="nextTo"/>
        <c:spPr>
          <a:noFill/>
          <a:ln w="3175" cap="flat" cmpd="sng" algn="ctr">
            <a:solidFill>
              <a:srgbClr val="C00000"/>
            </a:solidFill>
            <a:round/>
          </a:ln>
          <a:effectLst/>
        </c:spPr>
        <c:txPr>
          <a:bodyPr rot="0" spcFirstLastPara="1" vertOverflow="ellipsis" wrap="square" anchor="b" anchorCtr="1"/>
          <a:lstStyle/>
          <a:p>
            <a:pPr>
              <a:defRPr sz="700" b="0" i="0" u="none" strike="noStrike" kern="1200" baseline="0">
                <a:solidFill>
                  <a:srgbClr val="8F112F"/>
                </a:solidFill>
                <a:latin typeface="Times New Roman" panose="02020603050405020304" pitchFamily="18" charset="0"/>
                <a:ea typeface="+mn-ea"/>
                <a:cs typeface="Times New Roman" panose="02020603050405020304" pitchFamily="18" charset="0"/>
              </a:defRPr>
            </a:pPr>
            <a:endParaRPr lang="en-NG"/>
          </a:p>
        </c:txPr>
        <c:crossAx val="382547823"/>
        <c:crosses val="autoZero"/>
        <c:auto val="1"/>
        <c:lblAlgn val="ctr"/>
        <c:lblOffset val="0"/>
        <c:tickMarkSkip val="1"/>
        <c:noMultiLvlLbl val="0"/>
      </c:catAx>
      <c:valAx>
        <c:axId val="382547823"/>
        <c:scaling>
          <c:orientation val="minMax"/>
        </c:scaling>
        <c:delete val="1"/>
        <c:axPos val="l"/>
        <c:numFmt formatCode="[$$-409]#,##0" sourceLinked="1"/>
        <c:majorTickMark val="none"/>
        <c:minorTickMark val="none"/>
        <c:tickLblPos val="nextTo"/>
        <c:crossAx val="38254734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337696385666346E-2"/>
          <c:y val="1.69971671388102E-2"/>
          <c:w val="0.93375842985542146"/>
          <c:h val="0.98300283286118983"/>
        </c:manualLayout>
      </c:layout>
      <c:barChart>
        <c:barDir val="bar"/>
        <c:grouping val="stacked"/>
        <c:varyColors val="0"/>
        <c:ser>
          <c:idx val="0"/>
          <c:order val="0"/>
          <c:spPr>
            <a:solidFill>
              <a:schemeClr val="accent2">
                <a:lumMod val="75000"/>
              </a:schemeClr>
            </a:solidFill>
            <a:ln>
              <a:noFill/>
            </a:ln>
            <a:effectLst/>
          </c:spPr>
          <c:invertIfNegative val="0"/>
          <c:val>
            <c:numRef>
              <c:f>Pivot_Tables_Performance!$D$18:$D$27</c:f>
              <c:numCache>
                <c:formatCode>0.00%</c:formatCode>
                <c:ptCount val="10"/>
                <c:pt idx="0">
                  <c:v>1</c:v>
                </c:pt>
                <c:pt idx="1">
                  <c:v>0.70101776350464651</c:v>
                </c:pt>
                <c:pt idx="2">
                  <c:v>0.44669543947224688</c:v>
                </c:pt>
                <c:pt idx="3">
                  <c:v>0.35940661645116395</c:v>
                </c:pt>
                <c:pt idx="4">
                  <c:v>0.28885972015464173</c:v>
                </c:pt>
                <c:pt idx="5">
                  <c:v>0.24156544414542017</c:v>
                </c:pt>
                <c:pt idx="6">
                  <c:v>0.21026978498129262</c:v>
                </c:pt>
                <c:pt idx="7">
                  <c:v>0.1635357980033052</c:v>
                </c:pt>
                <c:pt idx="8">
                  <c:v>0.1582230708482644</c:v>
                </c:pt>
                <c:pt idx="9">
                  <c:v>0.1550677055814759</c:v>
                </c:pt>
              </c:numCache>
            </c:numRef>
          </c:val>
          <c:extLst>
            <c:ext xmlns:c16="http://schemas.microsoft.com/office/drawing/2014/chart" uri="{C3380CC4-5D6E-409C-BE32-E72D297353CC}">
              <c16:uniqueId val="{00000000-59BD-438E-BA32-22D87ED22D52}"/>
            </c:ext>
          </c:extLst>
        </c:ser>
        <c:ser>
          <c:idx val="1"/>
          <c:order val="1"/>
          <c:spPr>
            <a:solidFill>
              <a:schemeClr val="bg1">
                <a:lumMod val="95000"/>
              </a:schemeClr>
            </a:solidFill>
            <a:ln>
              <a:noFill/>
            </a:ln>
            <a:effectLst/>
          </c:spPr>
          <c:invertIfNegative val="0"/>
          <c:val>
            <c:numRef>
              <c:f>Pivot_Tables_Performance!$E$18:$E$27</c:f>
              <c:numCache>
                <c:formatCode>0%</c:formatCode>
                <c:ptCount val="10"/>
                <c:pt idx="0">
                  <c:v>0</c:v>
                </c:pt>
                <c:pt idx="1">
                  <c:v>0.29898223649535349</c:v>
                </c:pt>
                <c:pt idx="2">
                  <c:v>0.55330456052775312</c:v>
                </c:pt>
                <c:pt idx="3">
                  <c:v>0.64059338354883599</c:v>
                </c:pt>
                <c:pt idx="4">
                  <c:v>0.71114027984535833</c:v>
                </c:pt>
                <c:pt idx="5">
                  <c:v>0.75843455585457986</c:v>
                </c:pt>
                <c:pt idx="6">
                  <c:v>0.78973021501870733</c:v>
                </c:pt>
                <c:pt idx="7">
                  <c:v>0.8364642019966948</c:v>
                </c:pt>
                <c:pt idx="8">
                  <c:v>0.84177692915173563</c:v>
                </c:pt>
                <c:pt idx="9">
                  <c:v>0.84493229441852413</c:v>
                </c:pt>
              </c:numCache>
            </c:numRef>
          </c:val>
          <c:extLst>
            <c:ext xmlns:c16="http://schemas.microsoft.com/office/drawing/2014/chart" uri="{C3380CC4-5D6E-409C-BE32-E72D297353CC}">
              <c16:uniqueId val="{00000001-59BD-438E-BA32-22D87ED22D52}"/>
            </c:ext>
          </c:extLst>
        </c:ser>
        <c:dLbls>
          <c:showLegendKey val="0"/>
          <c:showVal val="0"/>
          <c:showCatName val="0"/>
          <c:showSerName val="0"/>
          <c:showPercent val="0"/>
          <c:showBubbleSize val="0"/>
        </c:dLbls>
        <c:gapWidth val="60"/>
        <c:overlap val="100"/>
        <c:axId val="1122939599"/>
        <c:axId val="1122940559"/>
      </c:barChart>
      <c:catAx>
        <c:axId val="1122939599"/>
        <c:scaling>
          <c:orientation val="maxMin"/>
        </c:scaling>
        <c:delete val="1"/>
        <c:axPos val="l"/>
        <c:majorTickMark val="none"/>
        <c:minorTickMark val="none"/>
        <c:tickLblPos val="nextTo"/>
        <c:crossAx val="1122940559"/>
        <c:crosses val="autoZero"/>
        <c:auto val="1"/>
        <c:lblAlgn val="ctr"/>
        <c:lblOffset val="100"/>
        <c:noMultiLvlLbl val="0"/>
      </c:catAx>
      <c:valAx>
        <c:axId val="1122940559"/>
        <c:scaling>
          <c:orientation val="minMax"/>
        </c:scaling>
        <c:delete val="1"/>
        <c:axPos val="t"/>
        <c:numFmt formatCode="0.00%" sourceLinked="1"/>
        <c:majorTickMark val="none"/>
        <c:minorTickMark val="none"/>
        <c:tickLblPos val="nextTo"/>
        <c:crossAx val="1122939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337696385666346E-2"/>
          <c:y val="1.69971671388102E-2"/>
          <c:w val="0.93375842985542146"/>
          <c:h val="0.98300283286118983"/>
        </c:manualLayout>
      </c:layout>
      <c:barChart>
        <c:barDir val="bar"/>
        <c:grouping val="stacked"/>
        <c:varyColors val="0"/>
        <c:ser>
          <c:idx val="0"/>
          <c:order val="0"/>
          <c:spPr>
            <a:solidFill>
              <a:schemeClr val="accent2">
                <a:lumMod val="40000"/>
                <a:lumOff val="60000"/>
              </a:schemeClr>
            </a:solidFill>
            <a:ln>
              <a:noFill/>
            </a:ln>
            <a:effectLst/>
          </c:spPr>
          <c:invertIfNegative val="0"/>
          <c:val>
            <c:numRef>
              <c:f>Pivot_Tables_Performance!$D$3:$D$12</c:f>
              <c:numCache>
                <c:formatCode>0.00%</c:formatCode>
                <c:ptCount val="10"/>
                <c:pt idx="0">
                  <c:v>0.11193309745899004</c:v>
                </c:pt>
                <c:pt idx="1">
                  <c:v>0.33579929237697009</c:v>
                </c:pt>
                <c:pt idx="2">
                  <c:v>0.68435724241449558</c:v>
                </c:pt>
                <c:pt idx="3">
                  <c:v>0.69765197812801538</c:v>
                </c:pt>
                <c:pt idx="4">
                  <c:v>0.78728422858368174</c:v>
                </c:pt>
                <c:pt idx="5">
                  <c:v>0.81317679854186764</c:v>
                </c:pt>
                <c:pt idx="6">
                  <c:v>0.89760909188377835</c:v>
                </c:pt>
                <c:pt idx="7">
                  <c:v>0.89884207140559669</c:v>
                </c:pt>
                <c:pt idx="8">
                  <c:v>0.91658625495872204</c:v>
                </c:pt>
                <c:pt idx="9">
                  <c:v>1</c:v>
                </c:pt>
              </c:numCache>
            </c:numRef>
          </c:val>
          <c:extLst>
            <c:ext xmlns:c16="http://schemas.microsoft.com/office/drawing/2014/chart" uri="{C3380CC4-5D6E-409C-BE32-E72D297353CC}">
              <c16:uniqueId val="{00000000-59BD-438E-BA32-22D87ED22D52}"/>
            </c:ext>
          </c:extLst>
        </c:ser>
        <c:ser>
          <c:idx val="1"/>
          <c:order val="1"/>
          <c:spPr>
            <a:solidFill>
              <a:srgbClr val="FEF6F0"/>
            </a:solidFill>
            <a:ln>
              <a:noFill/>
            </a:ln>
            <a:effectLst/>
          </c:spPr>
          <c:invertIfNegative val="0"/>
          <c:val>
            <c:numRef>
              <c:f>Pivot_Tables_Performance!$E$3:$E$12</c:f>
              <c:numCache>
                <c:formatCode>0%</c:formatCode>
                <c:ptCount val="10"/>
                <c:pt idx="0">
                  <c:v>0.88806690254100995</c:v>
                </c:pt>
                <c:pt idx="1">
                  <c:v>0.66420070762302985</c:v>
                </c:pt>
                <c:pt idx="2">
                  <c:v>0.31564275758550442</c:v>
                </c:pt>
                <c:pt idx="3">
                  <c:v>0.30234802187198462</c:v>
                </c:pt>
                <c:pt idx="4">
                  <c:v>0.21271577141631826</c:v>
                </c:pt>
                <c:pt idx="5">
                  <c:v>0.18682320145813236</c:v>
                </c:pt>
                <c:pt idx="6">
                  <c:v>0.10239090811622165</c:v>
                </c:pt>
                <c:pt idx="7">
                  <c:v>0.10115792859440331</c:v>
                </c:pt>
                <c:pt idx="8">
                  <c:v>8.3413745041277965E-2</c:v>
                </c:pt>
                <c:pt idx="9">
                  <c:v>0</c:v>
                </c:pt>
              </c:numCache>
            </c:numRef>
          </c:val>
          <c:extLst>
            <c:ext xmlns:c16="http://schemas.microsoft.com/office/drawing/2014/chart" uri="{C3380CC4-5D6E-409C-BE32-E72D297353CC}">
              <c16:uniqueId val="{00000001-59BD-438E-BA32-22D87ED22D52}"/>
            </c:ext>
          </c:extLst>
        </c:ser>
        <c:dLbls>
          <c:showLegendKey val="0"/>
          <c:showVal val="0"/>
          <c:showCatName val="0"/>
          <c:showSerName val="0"/>
          <c:showPercent val="0"/>
          <c:showBubbleSize val="0"/>
        </c:dLbls>
        <c:gapWidth val="60"/>
        <c:overlap val="100"/>
        <c:axId val="1122939599"/>
        <c:axId val="1122940559"/>
      </c:barChart>
      <c:catAx>
        <c:axId val="1122939599"/>
        <c:scaling>
          <c:orientation val="maxMin"/>
        </c:scaling>
        <c:delete val="1"/>
        <c:axPos val="l"/>
        <c:majorTickMark val="none"/>
        <c:minorTickMark val="none"/>
        <c:tickLblPos val="nextTo"/>
        <c:crossAx val="1122940559"/>
        <c:crosses val="autoZero"/>
        <c:auto val="1"/>
        <c:lblAlgn val="ctr"/>
        <c:lblOffset val="100"/>
        <c:noMultiLvlLbl val="0"/>
      </c:catAx>
      <c:valAx>
        <c:axId val="1122940559"/>
        <c:scaling>
          <c:orientation val="minMax"/>
        </c:scaling>
        <c:delete val="1"/>
        <c:axPos val="t"/>
        <c:numFmt formatCode="0.00%" sourceLinked="1"/>
        <c:majorTickMark val="none"/>
        <c:minorTickMark val="none"/>
        <c:tickLblPos val="nextTo"/>
        <c:crossAx val="1122939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219"/>
        <c:overlap val="-27"/>
        <c:axId val="786483407"/>
        <c:axId val="786484367"/>
      </c:barChart>
      <c:catAx>
        <c:axId val="78648340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86484367"/>
        <c:crosses val="autoZero"/>
        <c:auto val="1"/>
        <c:lblAlgn val="ctr"/>
        <c:lblOffset val="100"/>
        <c:noMultiLvlLbl val="0"/>
      </c:catAx>
      <c:valAx>
        <c:axId val="786484367"/>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86483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5="http://schemas.microsoft.com/office/drawing/2012/chart" uri="{723BEF56-08C2-4564-9609-F4CBC75E7E54}">
      <c15:pivotSource>
        <c15:name>[Bayan_Sales_Dashboard.xlsm]PivotChartTable2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219"/>
        <c:overlap val="-27"/>
        <c:axId val="36807775"/>
        <c:axId val="36806815"/>
      </c:barChart>
      <c:catAx>
        <c:axId val="36807775"/>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36806815"/>
        <c:crosses val="autoZero"/>
        <c:auto val="1"/>
        <c:lblAlgn val="ctr"/>
        <c:lblOffset val="100"/>
        <c:noMultiLvlLbl val="0"/>
      </c:catAx>
      <c:valAx>
        <c:axId val="36806815"/>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36807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5="http://schemas.microsoft.com/office/drawing/2012/chart" uri="{723BEF56-08C2-4564-9609-F4CBC75E7E54}">
      <c15:pivotSource>
        <c15:name>[Bayan_Sales_Dashboard.xlsm]PivotChartTable4</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title pos="t" align="ctr" overlay="0">
      <cx:tx>
        <cx:txData>
          <cx:v>Sales by Category</cx:v>
        </cx:txData>
      </cx:tx>
      <cx:spPr>
        <a:noFill/>
      </cx:spPr>
      <cx:txPr>
        <a:bodyPr spcFirstLastPara="1" vertOverflow="ellipsis" horzOverflow="overflow" wrap="square" lIns="0" tIns="0" rIns="0" bIns="0" anchor="ctr" anchorCtr="1"/>
        <a:lstStyle/>
        <a:p>
          <a:pPr algn="ctr" rtl="0">
            <a:defRPr>
              <a:solidFill>
                <a:srgbClr val="C00000"/>
              </a:solidFill>
              <a:effectLst/>
            </a:defRPr>
          </a:pPr>
          <a:r>
            <a:rPr lang="en-US" sz="1050" b="1" i="0" u="none" strike="noStrike" baseline="0">
              <a:solidFill>
                <a:srgbClr val="C00000"/>
              </a:solidFill>
              <a:effectLst/>
              <a:latin typeface="Times New Roman" panose="02020603050405020304" pitchFamily="18" charset="0"/>
              <a:cs typeface="Times New Roman" panose="02020603050405020304" pitchFamily="18" charset="0"/>
            </a:rPr>
            <a:t>Sales by Category</a:t>
          </a:r>
        </a:p>
      </cx:txPr>
    </cx:title>
    <cx:plotArea>
      <cx:plotAreaRegion>
        <cx:plotSurface>
          <cx:spPr>
            <a:noFill/>
            <a:ln>
              <a:noFill/>
            </a:ln>
            <a:effectLst/>
          </cx:spPr>
        </cx:plotSurface>
        <cx:series layoutId="funnel" uniqueId="{A1980C22-1CA8-40EA-83C9-3E94A41E5E1D}">
          <cx:dataPt idx="0">
            <cx:spPr>
              <a:solidFill>
                <a:srgbClr val="E97132">
                  <a:lumMod val="50000"/>
                </a:srgbClr>
              </a:solidFill>
              <a:ln>
                <a:noFill/>
              </a:ln>
            </cx:spPr>
          </cx:dataPt>
          <cx:dataPt idx="1">
            <cx:spPr>
              <a:solidFill>
                <a:srgbClr val="E97132">
                  <a:lumMod val="75000"/>
                </a:srgbClr>
              </a:solidFill>
              <a:ln>
                <a:noFill/>
              </a:ln>
            </cx:spPr>
          </cx:dataPt>
          <cx:dataPt idx="2">
            <cx:spPr>
              <a:solidFill>
                <a:srgbClr val="E97132">
                  <a:lumMod val="60000"/>
                  <a:lumOff val="40000"/>
                </a:srgbClr>
              </a:solidFill>
              <a:ln>
                <a:noFill/>
              </a:ln>
            </cx:spPr>
          </cx:dataPt>
          <cx:dataPt idx="3">
            <cx:spPr>
              <a:solidFill>
                <a:srgbClr val="E97132">
                  <a:lumMod val="40000"/>
                  <a:lumOff val="60000"/>
                </a:srgbClr>
              </a:solidFill>
              <a:ln>
                <a:noFill/>
              </a:ln>
            </cx:spPr>
          </cx:dataPt>
          <cx:dataLabels>
            <cx:numFmt formatCode="[$$-en-US]#,##0" sourceLinked="0"/>
            <cx:spPr>
              <a:ln>
                <a:noFill/>
              </a:ln>
            </cx:spPr>
            <cx:visibility seriesName="0" categoryName="0" value="1"/>
            <cx:separator>, </cx:separator>
            <cx:dataLabel idx="2">
              <cx:txPr>
                <a:bodyPr spcFirstLastPara="1" vertOverflow="ellipsis" horzOverflow="overflow" wrap="square" lIns="0" tIns="0" rIns="0" bIns="0" anchor="ctr" anchorCtr="1"/>
                <a:lstStyle/>
                <a:p>
                  <a:pPr algn="ctr" rtl="0">
                    <a:defRPr>
                      <a:solidFill>
                        <a:schemeClr val="bg1"/>
                      </a:solidFill>
                    </a:defRPr>
                  </a:pPr>
                  <a:r>
                    <a:rPr lang="en-US" sz="900" b="0" i="0" u="none" strike="noStrike" baseline="0">
                      <a:solidFill>
                        <a:schemeClr val="bg1"/>
                      </a:solidFill>
                      <a:latin typeface="Aptos Narrow" panose="02110004020202020204"/>
                    </a:rPr>
                    <a:t>$114,880</a:t>
                  </a:r>
                </a:p>
              </cx:txPr>
            </cx:dataLabel>
            <cx:dataLabel idx="3">
              <cx:txPr>
                <a:bodyPr spcFirstLastPara="1" vertOverflow="ellipsis" horzOverflow="overflow" wrap="square" lIns="0" tIns="0" rIns="0" bIns="0" anchor="ctr" anchorCtr="1"/>
                <a:lstStyle/>
                <a:p>
                  <a:pPr algn="ctr" rtl="0">
                    <a:defRPr>
                      <a:solidFill>
                        <a:schemeClr val="bg1"/>
                      </a:solidFill>
                    </a:defRPr>
                  </a:pPr>
                  <a:r>
                    <a:rPr lang="en-US" sz="900" b="0" i="0" u="none" strike="noStrike" baseline="0">
                      <a:solidFill>
                        <a:schemeClr val="bg1"/>
                      </a:solidFill>
                      <a:latin typeface="Aptos Narrow" panose="02110004020202020204"/>
                    </a:rPr>
                    <a:t>$91,705</a:t>
                  </a:r>
                </a:p>
              </cx:txPr>
            </cx:dataLabel>
          </cx:dataLabels>
          <cx:dataId val="0"/>
        </cx:series>
      </cx:plotAreaRegion>
      <cx:axis id="0">
        <cx:catScaling gapWidth="0.5"/>
        <cx:tickLabels/>
        <cx:spPr>
          <a:ln>
            <a:noFill/>
          </a:ln>
        </cx:spPr>
        <cx:txPr>
          <a:bodyPr spcFirstLastPara="1" vertOverflow="ellipsis" horzOverflow="overflow" wrap="square" lIns="0" tIns="0" rIns="0" bIns="0" anchor="ctr" anchorCtr="1"/>
          <a:lstStyle/>
          <a:p>
            <a:pPr algn="ctr" rtl="0">
              <a:defRPr>
                <a:solidFill>
                  <a:srgbClr val="FF0000"/>
                </a:solidFill>
                <a:latin typeface="Times New Roman" panose="02020603050405020304" pitchFamily="18" charset="0"/>
                <a:ea typeface="Times New Roman" panose="02020603050405020304" pitchFamily="18" charset="0"/>
                <a:cs typeface="Times New Roman" panose="02020603050405020304" pitchFamily="18" charset="0"/>
              </a:defRPr>
            </a:pPr>
            <a:endParaRPr lang="en-US" sz="900" b="0" i="0" u="none" strike="noStrike" baseline="0">
              <a:solidFill>
                <a:srgbClr val="FF0000"/>
              </a:solidFill>
              <a:latin typeface="Times New Roman" panose="02020603050405020304" pitchFamily="18" charset="0"/>
              <a:cs typeface="Times New Roman" panose="02020603050405020304" pitchFamily="18"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Revenue by Region and States</cx:v>
        </cx:txData>
      </cx:tx>
      <cx:txPr>
        <a:bodyPr spcFirstLastPara="1" vertOverflow="ellipsis" horzOverflow="overflow" wrap="square" lIns="0" tIns="0" rIns="0" bIns="0" anchor="ctr" anchorCtr="1"/>
        <a:lstStyle/>
        <a:p>
          <a:pPr algn="ctr" rtl="0">
            <a:defRPr/>
          </a:pPr>
          <a:r>
            <a:rPr lang="en-US" sz="1050" b="1" i="0" u="none" strike="noStrike" baseline="0">
              <a:solidFill>
                <a:srgbClr val="C00000"/>
              </a:solidFill>
              <a:latin typeface="Times New Roman" panose="02020603050405020304" pitchFamily="18" charset="0"/>
              <a:cs typeface="Times New Roman" panose="02020603050405020304" pitchFamily="18" charset="0"/>
            </a:rPr>
            <a:t>Revenue by Region and States</a:t>
          </a:r>
        </a:p>
      </cx:txPr>
    </cx:title>
    <cx:plotArea>
      <cx:plotAreaRegion>
        <cx:plotSurface>
          <cx:spPr>
            <a:noFill/>
            <a:ln>
              <a:noFill/>
            </a:ln>
          </cx:spPr>
        </cx:plotSurface>
        <cx:series layoutId="regionMap" uniqueId="{92DC5521-711E-46F8-8469-859AD251EEB7}">
          <cx:tx>
            <cx:txData>
              <cx:f/>
              <cx:v>Total Revenue</cx:v>
            </cx:txData>
          </cx:tx>
          <cx:dataId val="0"/>
          <cx:layoutPr>
            <cx:geography viewedRegionType="dataOnly" cultureLanguage="en-US" cultureRegion="NG" attribution="Powered by Bing">
              <cx:geoCache provider="{E9337A44-BEBE-4D9F-B70C-5C5E7DAFC167}">
                <cx:binary>1H1rc9s4tu1fSeXzoZt4E1PTp6opWbbj2EnsJN3JF5Ziu/km+H79+rtoyYnFqGNPjW+dkmaqVZEI
YQML+7WwAf/7pv/XTXK3Ll/1aZJV/7rpf38d1HX+r99+q26Cu3RdHaXhTWkq83d9dGPS38zff4c3
d7/dlusuzPzfqE34bzfBuqzv+tf/+2/8mn9n3pqbdR2a7ENzVw5Xd1WT1NUvvtv71av1bRpmy7Cq
y/CmJr+/fheE5vWru6wO6+HjkN/9/nrnidevfpv/zk99vkogVt3coi23jzgRgnGt7PsXe/0qMZm/
/dpy6JGyNRMOJXrzeuj7cp2i/VPS3Muyvr0t76oKQ7l/f2i1Izc+PH396sY0WT3NlY9p+/31pyys
725fXdfr+q56/SqszGLzwMJMwn+6vh/tb7uz/b//nn2A8c8+eQTIfLKe+uonPC7vulen6zSvgrC8
e5icFwCGHUlHSIK53wuMIkdCKUm1rTff04e+N8A8W6z9CM2az6C6PFyo3tyV1d3wMFcvgJN9RBhA
EIx8x+GxAil+JJUjYB+2+sMf+v6B09My/TNID23nCL05WGX6Ysr4YY5eAB96pJmmnDG6X4/EkcQ3
0DS+AUg+9P0Dn6ck+md0Ni3n2Hw5SGwuwqoyTRk+zM9/jw1zjphUwrH5ft3R9IgrxSTcz15sniPR
fmx+tJxhc/HuILFZrJPwb1Nm4foF0VFHVHApNdl6GLIbGhCijyRRVBG+tW0PfW8053ky7cfncdsZ
Qos/DhKhP5L1t3X6kvAgMpOSU0rVLi6OPHK4Pdk7unU5u7g8Q5L9oHxvOEPkj7cHicjHu36NoPKl
ImlGjrhkDnfI1pjN1EXrIwZQtFJbWJyHvjfq8qQ4+0HZNptB8vGvg4TkKkBc/+qsStbZ7cPs/Pdu
hhO4eIfqBy+iMfM7IRpCaeI4tuRiozDIgTarYoPMc6XaD9Bu6xlOV2cHidMfZTia7CWNGT+imlHq
PERhM5tGCDCc8JFC3odxUK7HED1DoP3ofG84A+aPrwcJzJ9rpKGZX5vsYX5eQH0UKALChHLURj3m
2FD7SAjJv4dxM2yeJ9N+eB63nSH05x8HidD7uyyrhqRdv2isBhrH0QjVnE2OY9vAYMfEqSOHOQ6c
j73BcOZ8nivVfpR2W89wen+YOJ3droOX5Nn4EXO0rehDrDzzQYSAJxCaKccWD6q78T5PCrIfk22z
GRhny4NUmrMkCTMTvmC0BoUhwIIL8UMhHiuMo48Id6bMcxsT6Bkqz5DoH4D53nKOzWGG0VMqPf0/
z1+SGUByQ20HxNk2hcH0z+BBJEBtpD8bizdjbZ4p1H6EdhrPQLoA5XyAJPU5gqXmJh4eFvF/HxUw
dSSoYpTLmSVzxBF14Gc4lxvsZoTnc0TZj8uPljNQzr8cJCifw9IPXzQMmEAh1NFg1b67+cdqo5yj
KUbgzNkyNjNf8xyJ9mPzo+UMm8+H6f6vTVMHrxbr0sDzrF9QbdiRtpnm9IElQK75GCFnCuS4DRJh
i9DMsD1frv04zdvP0LpeHKQmrRJThrcvCBN1joQWgtjIau5f2F3bgQnMtKMYpw7bfA8YH+ejzxBo
Pz7fG86AWR1qcHAThP76JbNRfuQorrR6MGE/ux/FbA37t1+BLsKnJdoPzY+WM2wuzg5SaaYt3ou7
Prx5wTSH8SOYNoYtgQ1NY8/MG7HlEbEdbJg6ZFdjnifNfmQet51hc3lxoNh8K9dV/IIWDSQo4jVA
o7bIzCwa6GmHID/VDxzCLDS4vHtaon9C56HlHJvjg8TmzHQviQs9shWXQnH+3ZM89jSaHU0FIBKu
aPP9LCB4Spr9mGxazfA4++Mg8fgzrG5MVoUv62Qk06jpkFt24Of0E6kPAgS93/0/S6T9yDxqOoPn
z8N0MwuD4Gx9+5JOxjmClQJzw7fJP1zJY5UhtjgSXDkoHNj1Mc8RZT8qP1rOQFkcZr3ApSn//6Q3
mHkGFlMgBLt/zfYKFGg1RzBHyq0Xmlmz58u1H6d5+xlal4eZ3pzcGTAFL+h0GD3Cfg11uN6/V+2w
I845U0hEvzulx+nNMwTaj8/3hjNgTg7T9XzEZg4KW+/uHuzMC/BqAtUbiMJsbEjfv2ZxGqo7GJ9o
t0cR9mNoniXSfnAeNZ3B8/HyICODs+w2XL8oe6OPprRSod5z+9r1PAAHW9ioJNDbot0Z9/kMgfZD
873hDJizwwTmYl1V65ugqe7quno53eH0CPVoMFtgAO5fs8AANdPSFiiNcuCWHivNs+XZj86s+Qyj
i8O0bRfrcnjZOhyUe+ppz0DMomklccaAoP5Db0twZ2HbcyT5J2AexjDH5DD2QX+907RZwRuXs/Pk
f3gGhGmkmKjvgMPfqA3m/3E8DWrAJlM0/YDPzKrNTmn8s1j7QZo13xnJYRwBeRcnKBZ40eJOxNEO
wxba1o/M6zk0NnpAo9m22m70QKUeG7TnSLQfjR8tZyrz7vwgY4CLcArRTP2C0TOfQjBNOHugymZu
RvMjogEO6tl2UXmWLPthedR0hsvFYYYAy7tk3a1f8sQUzJiNkgFJ4WA2r10zpgQKdB3JGdmeJpgx
nM+RaD84P1rOsFkeJsP5rrzzX7SCEJueyPlRTrMtCZgFAOS+ghB7ngyatGPGnhRkPyAPA5jB8e7q
IE3YwsCE3dThTVM/TM9/n2dO+wFKEMEezhfOjJhCBQ4DRUDoTE2eKc1+YHYaz9BZfDxIdD7flanJ
XhIZjh0BQfG/WRwGSKSkUkvsn92/Zsg8Q5L9qHxvOEPk82Ei8uddVb/6UZDyOB7dGeB/GiajeIZT
lEEjVbl/zbhNlG5I7K9hb3NLqs3SmGeLtR+kWfOdkfz++s/PB6k8n+p18HI2DREAQ/qPEGAbNs+4
s/tTBMrBkSk5452fkmM/JJtWMyQ+HabSXN6165esoJmwwKEA/n0nYFanQYhEwTO2AtSW6Jy5/qfl
2Y/JQ7sZKpeHqR/n66x60UNqDuqWOHb5UaC5jyHTOJHrINkHHfDdxj0OyJ6WZz8qD+1mqJxfH6TV
+qOMXxoXVDVNlReMbOd9pi3TSWimcVEHDkvfv2au/zkS7UfmR8sZNn8cZrB8gVjsRTl/ro7AGAui
sRt2/5pFZcTGMWiOslvJ+IMr25zceIYo+zH53nAGycVhupa3pgmrF96IsY80ypVsiQtSNq/dXF8T
6BOBp3e2OzUzaJ4l0n5wHjWdwfP2j4O0Zn8OBjcM+Q9r9wVSS1y5oTUylX8wZigzw4FBgtjA3qLz
0PdGb54h0H5ovjecAfPnl4ME5uHSp1fm71coQGnSby9aA4DdGBtVMmQyW4/pfgWDR3CxEA6zb1Rr
pjv/qVj7sdr/KzPglouDBG5TZL9cxy9LO6O2luGaGlz7tMFlln/CHB5RZoOZljPEnivPfqR2W88Q
ul4eJEIX6zC7e7A6L2DxBHYEpvPpj8Lmxyol9RElgA6VnntV6klx9iOzbTaD5OL4/waSf75j7fsF
dMt1vT6+v7nu0TVrv/72fuS4S2/WdEsT79383CQsZ7e/v6YcmvD9PrzpJ3bo5dnO46zd3bqqf39t
SXmkFWOo0MUWKHZ9bFAHHRim31+j1mA6boVSHVzShptyHATt2VRY9/trVBowlCBiz3TLoFbTeSI0
gdFlFMGkJijG1rg85/tlge9NMoB1/z4b23+/ypr0vQmzuvr9NUPomW8em0Y39QjqXIN1okqCYacQ
IL9ZX8Gb42nyPwmJyox0sbhziFc3+pjmPLeShZ234fhZiCaP19wqRbXKiqEa+LKmvQj6hWU8+5uf
lTyzFob2sXqjAzE0y1hbWXHa6TSpLhKR5tbgmrgX+TcR11FvlpirJGILXylO7lRvhuYqCXqVrB1H
5N4NS1khL30ZFjlzUxJWEIXnokzfBcSuu2zpJ6KMc9d0Ik3fEjUUENlPUzKc05Rl0d9W1Rq0eQTp
nkmCVdyZI9TqUK5BRUzn4zFdWBGP50iRNGwCGTh3XmeyqDitU57w04S3ValOx8qvw24xhjnuV0ps
L6Te6tfdE3BOu/3jBqvpnCQDa4sqbj19/wijMWJOJW0Z3kYkZnG4qA0TLHC1plYRrcq+88t6WQa1
zwPX4taYZ+87zoaKLggfZcfe1DLIqtg1pmAlucQtJwW++7WQWMKPZVRIcBhOO+PcIO7fmJblrox9
EFo0KJl1K62ytenSH5WvilXi8JrZblbWUn6Nhe3VZ7/ud4bN1C/XoCPA11HsmM77zZvBKGMx59Yf
sOak29p5Uv0VcI9mvttFYRO+yzxc01m7QWDA6rm/7h7bTrNhK1zXg0JIzXHBJXRod9i+aEPL7gN2
a6lEFWwhOluKNRTJqs/MGKrkMrSIIRcsLobmOq5sewxcXMCRYFL+U0nAg6GkD+n9/fFAe1eSQAVe
Eg12ectlB5VbDUSOJF6Jsmsqfhw6HpdfywZTULiVBAH61dhDW+rjNjR23j2BCriE3WkRFNWhoBqm
I9bYhZithlqGdjTEmXfj6TET5Ykp8tQbji0vrfRwMjhljyXy6/GTmSVTtkAwCi2BoiLsBAe1OwG+
HiOh89r6hls2VWqd9nUwKUTamwCXgjZdxEe+CNNqoLnba8owESK0g+Y6zWU0LDKLlNm1ToO0zJaF
MCW9Stswq779WszJnj6ytwo7lDjXbCPbx9YZtGVmS5rOc0q7GPtvfVmXWAR2E9vAx+47Jiy3L1lr
Xec0LialqTszvYW53zyBz0+TBe4UR0YYygwdzjhM2+5kOQWt6qGS5luWCAs2PIL1Gju3Hex6EOfM
E7D7ld+AxUojkcGilnlaEnHqWJHVxm4RwNpOln8I0CoLx6Q9532cm/QJs0LmCoZDrDiKTHEBJgXC
cjoq/tj29azLcp2N7FvlUWmlx1Fd5UnzvhjrMM8WXTEUEM5SaYvvzFCkZlg68ThY112ee2eVLpPI
X6TjaA/naVBktedm2pZevWiEbSVXMtX+mC4o0z1MIrWigWRv7FEn+NU49LqieEJNCUjpnQWAnBb3
rGhp4z4cXNchZhYDKzMr2qzNvyphRCQWuY2rPwvX8xqtywUZlQXT7g0b65k0HN819+YkJ56Dr/qu
ZrJYNR17Wof43IqDgUIwIjQhFLvtPy2LuI+r1AtM/jUvoUXFMatih19QErDhnFXNgOnQXpuMn9Og
HwblNkHZFcECBr+TV34xetZpmfJo/FxaTSUvnVBOAULP2zTRJ3EjJnhMxTSW0NAq0V7lZRSPn8dE
xl3s2kkyOa0Qsw+ATKYDfMgG3CT12Un7HtgxEQ14q0bbr51lLipWraRqJuzi3g8RYBT33WvHt4bO
dUwf4ScMggdIHlrZFBvUuUjjdV/JrMhXui1Je82ZGeu3ZRl7pZskaUnTheV7aX/qczjXL5mTefxz
a7cEi0w5PuKMtsgMQpRf24a51cTsK5RjoVCOK4nbYGdLg3lD5hOdJ19Hklal7/bUVnnldiYyyRlr
ig6G4tc9zq0Rnc6MUQK/jeOW+qceq9Kugi5l3Rc2NtNi7Bo+mT9aqRjOW7aFkF+9iI1YhB1t6sq/
UDAsWKe/FmMqCNhRCoZ7CKmCr8Att5QjSt7V8pG1TWFpmX5OeZbWzK1NI6w7UwQFrFEQVxk5Lj1l
wvdt5fiwOHkgjH/sOzVtjYurJLqkdWvqF+eJ58jrnpWJM7hVR2R7VTuWHS4KMfbmHIvIDtzI5l6Y
u9yTZFL2wMY6NG2A6OLMi+J60vwWedq76d7EfHBZXLK+Pfn1iOd2zUEFsT1tItL7Q0bICXZHHEsv
yLqiUp/aJrMRxIqypAhi23FatxxBFj8NSNdj2faxZnjz6/vI1pL5tKRZE3XUu/Z6OS1pWoRjWp6G
OWWTiSzGyiarImnzKjwZxRBD67wunWJqMjgptFORAmr06yHRmWVzEAE5cJuwakAQlxPMTHXBsnQ0
UUY/OXXAoFt17k8C1BZrJtW912Mcxxogmxf0k4rDVk4mpcwLOBorIAjjSS+mj0wR42xroiPFT8Mu
meahGDojL72ix1NhwKYhDn4qq1VsqZKtcqdsWbUY4C8w3CeGNosyMTQNkosSqIotcOfPbGh1HxOV
NGb4xPx2slR1WWBpjckYmpvadmKauUNtivGzotnkH1PLEADSyzTxh+MxlaT2V5pZTfcJUWqJ6ehU
xLD6WDvCmmShpbHEeJfkk3VrYDZPQ5p3MGs1IhJ0GNaejX8hxyKYitTnmIq6VoFVL0TSRFCJQNMI
/9rMz2QKp6PB3xPb95sY5XGqONNRB+ECoitFhYO00/4p1CXdyOUgC+tjmyoD67AJb2ng9G28QGYZ
+NlTZmHmjqYuOYqLqA23hLsV54mXHRlErXmvPlYNwQqpB5wFCE/g+zE/PMq5EcdeZ5m+cmXCBkx4
0noZQhYYPcxSV/ZJ/V7JyvGilVdzB8YACtlelSBe4AFSC4pf9xkc1RY2v+gyTGWfOBl0BVo0weHH
/QSEFYUEb3qIdHtlm9RAEhHH8E2xrKc89dezzTXbtYkY/OQEYCRwsReioHlmg3Cwsny7Hz4GwSAT
z62bmOULr7O96FLSkZfDcRGUMndcTamOArcsi7B4YycN64WbI9qxzks/tfiFlwaKLYrO9P6NHSb2
aec1XC5jlZnklkfJWF6lRqb4OwUjSbp3vCV2Py6dKNMiXxSIH6tm1XXCaS/LIvB648rUTslbZpdE
L7Os1GQR9XVTeq7pnWKM3CBrS94v/D5uoQztWHZD4vaWiHi00pQ0/Fom9cD9hd2TpmtOct0FxEP8
5vn1WR0oRGYLNSbdOCKtxVLMz/p48Bq3qPJIrlqtfLYUqdWPHztpaPi54YnvLRmvKVkMyE/N4Eq/
rvRSh7SLF75I/FOc+qiXhbG78dzTmW2fkI4EdOVblRPYx3lsUv5pEK0fW5+0sfv+Y1/3rL6wqjqz
ruAxVHMrSinLT6Nq/cy4uTEkqD7ofkziEy8Eu7EaDXdS4+rYMBosVDlWhfONpJGT3QY0N22/xFIZ
ijvd1F1nL+Kkq0h0WntZIZwl8gCRyBMvtWJ5qYmy4viklTmtkuAucDJWY5Z7wpySX4zMtFjSIymr
PPiAE8i1tI+zjOe5Omu0FwbJ20z0ceEfR61fd+3bTnh+GK48nnaNuPIyyoozGfHAd1ZYK5LFbt6O
Ntx6Ujlhp13f4rKol4FXjtFw1vmVFYQnXZjC2yxi3XEY2DYPG/GXsRopqjMsjs7yFh1D2EIumxxR
l3brgTm9fJdQpfBWbz60wjDBd/h7ERzdjabixbexKTRt30SyzH16SnrLUmoxRCJu1EmfRSRNXMHb
yS/awgoxHJ8JOJV17w04fL2IRKCF/27o8i5X7yPPirpkpWJm0fwsbgbttO9kxESo3ULriZNQZS2C
+LPyPc8azzlPKsyUNRQw2Rew2kUgzi3mlSp5S8IiJMn7KOoixzvuIhgC/9iEuM2/XMBkTSINrZXY
9Nj2gyEslnYeR6WzzGrbEtlf1KcZ+kujROtPje8UxaJE6o2ZpU4TwoMsiAymH4H8CFncotBTTM+D
CqNf5AHJmFxFQTfNGEvqGG+mCmrrOkvVZPJ5W/uOWuiuNlgAY4Z446TWZYrn8s1Qg1qMmL4iUnjB
l1QeeksCgiQzI+EED8l5QMWfJOmnec64jsAlWY1VAgori52A3xUFEppiVYYhIq1F55BBFYvQCURj
AUHeFM3nOsqaMMN8WcFoToJm5KS/cCI1iRwC6Xy8llhZ6IHhq+KbZ/XTApOlNSEvBgufJTqdpqZt
CR6Fi3WKDjK0OLaPMW7HU5aMFd9AuAX4TPS5kdex4J5mC95pEEBurgKCudiuHm+sNH5SRdY0OK8e
7iejwaopF9sYV4tRTP9ilYgvmB2W1vV2qq3N4w+TvHkOTAGNLxTNUwhAMitov8WhzMPyJMzYgEEX
dMSfh3F9yvzQvkYC7hvtig1QZmxrLDVk3k3pn2VED55wSRy0g3yn08ZgllqaJniE5uDYygVoDq/V
bmwPU9Drp4Liw0T5dvFNb2bQ5NAg2LXNmAIaIkdb5CaTHTkdGmfKzu0NtJvlIb04wfxIHqLFsVDJ
NPheDgHWqU/KqZuABxIfDqawVfBptELe1G8wUjZN72Yhjc3QQEoMcvoVEpYV2uF4EMPqqupgEn0z
odbYjfiHSZjh6tiyRRZHZyMqJPv8xLdBItnHXdgY6LSO/In5qDrgG7aKFt+I9DMsn0ogYsXgyxbB
7rsKXPb0g7Sd3njrO3hLMntSh3QUk/xZI/2g+9QkfuKHq8x38LtBwYjPTuNqUKQ+Z5u1EkaVrtXJ
dsp11JYQpw9ZjB+BBzDoPMrDGH6+JcUo7U+I3CKnXeaFVWfhwq58D52LKMCt+ss6ycFtJiAMQNkA
pqA5U8af1LmBf8Vn8dDIyFnFCBb74Q3TVdKb05obO00XieZJ2rpe5YM2JJo0eD6oiwpvCBpFcpkW
Df47pB14O2F3BFRRAS4/uWzj2gMp0JUReieBb9rPMvN6ZAHeME5rv9Mw5dGqZwWFhXHKIGmc4ySF
i02PeyvzdHUmNFxV/8WWfQR74yfGxPHplk6O6iQoo1UTJMh3bwZe4a9knOZRgOk4Yfc6UxgnwYRV
Xhd742cWOKarPxWsCzp5Wm+G3mu/whSxvB9jjCj2u0ocy9EmsHJ1yafpI30+rRrwVdMS3/CnThV3
mAHS0Gm8dRhSvJVY4Hi+CME+Wm6YjOCVcVdanGkXlMUg0wuWkxJPyIFMOWwrmgrrakOyjEQkpbdq
sqL06JnvFSN+Y9xQbx7ScrCGheAxKEqPxEh90xS5U7aoExAT4jyN5aRPNe9CkPB+7NQwlUx6A3xe
NcDSRCtkttPkNSGbqALaODG4+CjJfDTHOUOM8kuH8Myz3nReVZbhpWbRRFKaBu7uQsUek/UHDhpr
8I57L7KGYCW7XCTVEtQFNm1dBRJIfuU+I0jJ4Qw1wB8tPmJUMksnt5EKb1puJS0JFt9mJqPagIlm
oR2y9k03itRTH+Kx6azrEsE0WIUxL7T8CnuL9WV1+YgZiLg9jcHLMwvGH+nlxFIlIeJVRNY6NV3+
VeohKMg33icyuZSyyAdvxampauvvLiRR7x3Do7FEuFUC/ttaOAlR5Wcwkl1cf7T9IvL9hScGFvRX
nUJsU9zqNmwL+qXyHFATJ2XctKleWHSs4s8jbyg3bgPv0CPZJ8QgplRK6IY0WOVppOmixYeWal3V
YWeqX25HssGyyCMQxAvUkw7TsO7NTZK0k/3Tgz9ZE0T/k/KGVTo9kd2z915Ep89wzZuFJwZ/mB70
GNiJ9BiZ+7S3ESZeDlX2ES16l2M9kPw4gqJOWqnT6ZvtkkVMCUuksTePrzYU/GROLX9R9kPJlEto
aTvvm0D5nXE7OwNhz4fR0/SsK7JJy31rnOjACvtEeOMIy+qzYrSxvrmN/YdL8JaT5HGIncav245E
qeHSCiwV63qTsWVhNKrYjbK84R/ijcGKN0RjgYIprAYrKSYSsiplyfky9dPCeG5QyMa6bkKRY8x1
h1289k1I/SmMC3iPPlSbTGI19wpnmRh+xPVEMyl5TqdtxmXW9dOaVN5I49AVQZWl6XEQJdDG1WZC
wANPRi/GOSD8Lq+IFZ0HlCXKeYL4miX04HJgH7CCKYybJD/RykGNPQTw1fQ6MEZCauX7PbShMzCz
hcUnDUpaEC+B24bFJPsT2d1ubjd1j71+HM2cbghE/zP6vWx6Y3WVAlW1MY0ROGBIgTwAmvTrrmYE
OrTJRqEu+gJlhf/KKa1/tHnYOXHheAglH9aIHffGLIrc4/wd7sibVreWwQRqE0ZA2PCSA7Ktcfy1
LLsUAmq1sH4cHBhyJLbDsc7prixeyyjo28i/RqUkzFgoyBSPVxXuSTweDULnp+b55w5x0ALEgXQ0
BbmoZ7xiHJQ2SVLbuyr6DI7Cj+Hxz9QQw8xtNfvXAyQTbfdje2caIbhbWyhcoUpx39acyOyTiPtZ
ncirrcXognEi7QfJBiFWPa+cdhXl3lh+aDo2RMu0ySZ7zkqYBqsaOfzRExLtrnRIhFRqKmRkSgvU
y823xQZtW50aWHGVbJSqQ1wHHe+b2INdD502BAQBbwZopmZwDggtrGASJMpZ0YyLtkBmvxIpM8J2
e5iWYQFTX+Bx6IdHLsOBIZ9cdJv9rHxjZn89iDmMAA5/jsZGbQwoWYIDmrvrBn63qGlvtZdBFU+W
abwPhPJKZM2HwXIajqsvn091CWyAoBAHlW33xbrTRUO7/ake0QjqQpvLrdvr/aCIXNvAshq3rHBd
5X/WHyj/6a+HQDFwHpv/ZA5Y54GJbsPocuOWECRPaKg4gV5kVTE5jF93ONmXR8sUCwLbT9MfxkI9
CgejOeMzu2Hsw3IU8anKrDIWC5Wmin2VJRTmKRX8uStA52AHD3fSIMmcm7rUo+nQ+NI/3YQirQA7
gnVEixRvvx7VthTj0cDAFaIrjQIZG3d4ODgwuoucbWNfRoVBdVKO1A6qYyr6qRqhwUVgjfm7GjPs
oS9M5YNb1W7qjcgW3Vr4NUnP4a1RguMvTJyD+XlLObgH+33qCd83pwNiA2EuvT6MST8sPIotpy9V
UaRIg8qI8qw4TpNmpPXCNras0qVTClBtb1lPDJPv9WY/L5ZIRtg7L0tJ0V/EftBqlMw0rQwJOJEI
pRqnSDRUmC4TK8oBxTZAURaaBW68CSsQoTtwFvLejG1SjbizYbq7IKUw3UgNpzCga6mFgNZQB3lC
Rhs8gBBLNuqSVckUzFmb2CbH5ii03c4dMoZuXNUpGd2sKnUWLmWukqhxHyiPAm4zcLeBzH0EhZ21
DvM7Fs7kxFXRgllCbhFLepw7Bl2mMbKK9o2N3YrQXyR9invgT8DnJ1HyiSHs1exSDrXm+VkkbWsi
A6q2BM86bPIw3Q0VK5ZB3KSgXcHAKOwyuFFQO8ZbWI3xOzt1C/zdCkHf60Lnqjv2Cyh38VEMuh3N
R+w3TDtaiAFtKi9NXWET4WOYg232lyhCQjnBKigLQqJFShB0/j0g9aycN0L2Hf1KRD/UziVoMy//
kGkdxfQ4yirLRiaMyvK+XqCUC3vpx5kZgO2y6+lYDq5tgZloFwjNiHAWAx+87m2sq7oaXWxHdyGy
ae2U2BcNA7s64XZSd9+kncZDsPQ4Au7MTVWWln9lYF6sxnU2W25bW1RgP9yXb50UdjtaZUEiaYMo
+j7OAvE9xYlDVk9OZ7M0kvtoMFNJjJSt1KiIyd22tGVKYMl8oyAGjWPqdrHV6o8w4sa5zjNtJas0
FL5wA9/vrsUQimg5hJ13EvKWnYY2G8/Ssm9PwWSYK1VKuui1CC5VWCc2OOO2/OhhUZ9yX5jKhfYF
36IyT/7y7dAse0085KIJq0+Q7IJSopk4d3L7q4mhjlmXy7eyC/Ol4kEAdG2rXEWq58eRCZt3Y5TU
9jGi8vrYGWyWYMXK9CbIm2tKeH5ecss/T9uqPhYVKGjUvvinrWn0MtCd80HlQYF9/Ty8DavCWyZB
7rsDz7Kl8HTxxhlpuhq8DLvAWS44ftoZsgWPMrXq8JNnDvKxb2VvmhPUPXi3hY6Tk7gnyegOOhKr
ILLNdc7BzbsJKJrKtZjxP3X96KwTKxNI5Zv0Y+fQ8Nimtf2G2zoIXWNZ7C0HTbcq6wrXUETK+wDy
MES9Us30LcFWD/IZkpOrlkZBuMqHzDomVVpfVS0H4QBTsKyGvnnDqnKIXZF2zsJT2gucv8KW6uEM
FQjNTUV5RI5Nk9dIc8I0GNwWf7fizqmFSpeWZ5VvUo1yhCUndfShb1mMPCk156KqSbHwnMCs7ajK
3/Y44HJeSTKtUE9Me6h+273pEc5e2Cpuz8B+W2/CmAV06cD63ZKuY5k7jg4JkDbn1pcuL7q7wrL6
BQ3JuK6qyFBUFOQoHxzHCis3SPLERcVU2SzzsYv7N7LxC9+1SR5eDkTBECOlWrQdS9gbXLyd5G/K
vihXNG/ouUjS3gXT+1l0w43deN4lJ1CftmrqJahFO3T9Pm3VUgyGHXNVZ5d5wP8fYWe2HDnOXetX
cZx7nuBMIsLhCw45aZZKKqluGKUaSAAEARIDQT69V3b37/O3fWxH1I2iNDAzCWDvtb61uXxsyqMm
C2Fv97qyHAwErwvaZ6oKbJJ+hzMtqyQep6OEUFDFoTBPPpr4kx42w2tuTP86D9v8vngl4mr21tdd
tChWMVwfHNcSmhsWnh/2OvXl+khiPYz1tDv2nQm1VzB5xBseXTJXSrnoicBEOKt4KWu7hN0lpVP6
XZe5v2XQ+x1sh9Tij3am6mwwoyO1/W1eBpJWY8TJ9yVAUdOUqM9YlTE9P+Zrzg/Y6PO8JnQvTiaS
wyM4HbAd67C8xnJSR2d9dGTK5d+XpHtd0Se/7rPYy+Os0q1is+h/bXhDjoMprG1RBm4vZiFZVy3p
DMeW96YKB+fOOeHqOKMOjaq+0OSVTIZ8Jl4lX9jSyU+3u/2XxQ3euELGdynAgmOIk6KZ/WxeUF8G
VbZO7jZYNP+2h3I6JmPUgcyCnHw/bGGKs8xjRwoZLaEHZTw/4RkSXa30xI48s8sr2K4E1+/iSxRO
yYHlif6ALjc/kmlYTtE2khchlv2m12xufYEtF22woPdTGprLYtP1cdLd8mUpy/RHwh02h3je3H26
CSweaFoPUWLsjV+K9UxXn0joNuV07HKRNmiPQVhC9iDnPVi6264blqc9LofXEtLJx7yX5gsO/P6E
xVbc7VFgwDDl9DCSLruFwx0ltRFkbMp9mxLc78t02PtAPnJI8I+9l2quQYaEh2Vl84cyNu3RXO/7
7UJSewNQiUMdEPJLn+xEYM8Wvk0KXp4ieH61U3v6ULo+gTK/BD+DLgaDdrtl6U5JvQmPWrcpLCTt
8pZniStMG+IBu6OpRqK62zVQ/SNUlvE+SLfpbTTLd/xMD6GXRm9aoIJhtmD3njDgl5mK6IVIFX+z
QWfXehzW8A6oj32lsXPzcYjHJK3JEBU3aSeX8kBCMZGLGErVwMdN98rB725KsouiYrshrhJJN93L
AH7/zRbMBd7rPFzNcjsTB6Mn8ku0nqd0Fg+JT4OnYiJU1blfBtkORC3PrKdOtLB8t+FGUC5pEyxT
Bgix66LgWDit9+etnBY7HK+lR9iQ2WMeLce7JteeXzh68mWsowKVS50J27k7qCVM14mN+i9rscut
luGY3wLX66JmjVAi3hg04uYto+j+FuwjizJZjsKpn4AVnZzJi0sW+3BiX/Zk62JXbX4Oib3E2OzC
c5nCETjO4zYtzeB0Zl9I0HMGAqcfyVItQdePvA5S4l9oAmqmiod0fJJbFOzHFY0mq8NijsPblTA/
1fECHf+uGLGdNgDk9kZC2bqw2NAaj2blFxNsXrOHcQtysid4+6fQiwY6jeBXSkvFmXgwJmWlabac
5WMMgV1LrIcS9mZtoy0WbRrZcbjlA9zZSkyQeevd+HmqErHB+Cks46eJpplsexiFd5xCJm2Yp/6U
9GlUNnkZDgUkMbZEZ94vCnakzYqtile437mJzX2QEV/UgnWproqUJ5DioNm9RSpYfjqC0iRZ1BYf
peyipO3dENu4Rgk3BLKGNw8Uba2KIX/eglQWKMxsudGxxk5q8A0yDChG3GMTmsu8HdSoqqyfI09a
LoqoGFoVe5lld1HgcvsKM1d0JzaX6ffeuW/7PvSv/aC+9URlrEKbIF5WsB1tV3bLMcThEWKTyBfY
X8V+M27xeL8k1B7csJBazWpXVQFMU1VCZOJlmca8WZZ8q2xJU+yvzogfpu/2QyFH2Hi97+7gMJZh
HXm9zs2OwyZ9JHpIXgoAREtDHbQe3A+4YSrwcOvPSCr+pOZJl60uiv5Wy0m+2FmbvrW+d90ZqnFf
VIHw5Cwkm5t4mscDn7vsZeJh1BIzyBveZcFdzH16EyuYlrLXMK8J2qImjjs8ps4W9rj7OB4rTCUZ
RRMSN+tWRbm8Bz+4mrNa1q4ieg19PfOe1WmunapIJDowpAAi7VnneHHtBpH7Ze/woI4Ovvd8ZPDX
mgWLcq32jS/3OOVx+NOcjw1lqC9wCd0zTh16sAXJazup4Y3RPvoG5c0fAO2QowyJOBSqYI8BC5fa
iXx4DyfxOjKQYD0at0MRd+xDrrGRVZZI+ZGE3XKxcdL5qls8K2sKcfTSqRgvug+hcFPvajS7yQND
W3Jxa0R/8CEpvvGuj955lKy3Ds5tk6lZnhNIxm8Q32N+3dO8qhIWznd51yWoW7E5Xm/C9EfKr83w
Nonrqe1j/SldGdB2zCmMUIjJMj9P2URlrRfqDbymXUIsLFYW1cmIfaTKA8qyu1Hp+HMYBsOreMQ1
VGwshrLm+L015C/cE8OmsrPIbVw0ZgDIuaDW4v1FKGm+KnRtQ81VkoTfcPCuS0WCcnWnwPC8MYoF
Jzpn8euVGzhEu+O2olugHrLMs0/rSoXjAZ3nQdoONJTssuQW1t1yozZAJdXSo6S59dqqTx4bT2sN
mdFV1I3+hzEb1goWJfo0q6Bi/nRwrVwFR861E3PJBSJ1D2SK+h3FPLDRX0i6u+4gisHcpBv6typA
OWKasZuDrA1mAeY33F32ZvQ4fhTK+ZrrRDdjGMzhvV2L6AXuWklABaGGq3KzDuNxRVF1we43ra2f
h4GhlCMoPUFxBPI+GdYoqG13JfE2EWaqXZRDwgBECm6iOh3EwFLuDr3LYaUIXjOOIm1pr22sq7tt
pjFq6mTq9vdJ24k/xDJadYOuouPY0kgud1Uvke3H7RiEMZvSh9wmXVnxaKbJ9xHYaDDVLig96w4w
zLgP7/ggc0lqdNs+VZXdB6FtXeDAzbZmgH9VjpUFzZ1uzeS2TvCbreziJKy1RQOmHkcHdSipPDBv
Yg+LVTN973ueyr5ZsVRgoyCNk0xL5fwsc3PoUatNZzvYQPzWs/YuawfwT2Jqsxle20sXxvBejgqg
lJmaZUuDkD0yqzg+hzQALmUZSGZ4AA6YO17+LxGQIsT7qNm0NUQNPnvP4DINL3+KtYG6Gg5mJFdp
NI46r26QjLta9+AFrj4I1uFe/OzTLvT5EVz1jvU2R5rQD6vWIRiqqYTQFaCz7dia44jAdmze7ABB
obw1KCj9fchIuKW17bWd+XGHu4VPC0cek+wzKe3kRJONxm7TTWLx8vaKSlAWugb0kojuJTGZonmb
A1SlySW0dt4kOCRqUOOgd+jng1Ilw34cGNlwUEh3MWAulO6KYMfcCEURVaZHagqxbQoqrIOSSmsg
VXZc07affErHVq0gbgi0g0mWtztKv7LtgjHv4IK5jihbRelM0rbY9iQ9wvcTb6q042sAusZUsUT4
rEot1k4L2kT8DCeOKgv0+7DwVuaaDI1bwKn4ao9nmI97brc/KPsLob17hFjqTtCB6a0Mu6TmcW7v
WLRtolWJAKzlCIxgFYwvjPi1OM8o4YoqmdSWVn5a+XRcTAiK0ZdqnRDOcfyn2sOOY2tNRVflOEdt
Y5J9e9Y0WD0KhGBsUYGiQ+yYyrLjkqdGNJ0o/Wewd35TVdSvc/RccsqzZsXoxh8LnuWzVJo5tAbT
Hjh0IwuLhhblxKJPdsi4+9kH/qq4oKKOp3rnQ39ATst1wUHYqAScE89kqrswlbJNt1CfIi2Lj9GN
aaTroot7WUNQpBk61GLT96LMQ9vEYWbNO9AHYBNgWEHZ1WA6ZocCKYrBFUHcuu/ReYsqnVGH33kY
br5aE160Bc/HS9BrCZTdZghXgK1TAuhGvFndlFNGYEkFZjgit4APpvB9UCVg606zGmdWWwhmnzuA
BdwbHXmyQSjxOnd1yCPlHzd82E1KupK0DGzFrwDwEsRDpvrbANuw/obmch2eCiaWa9WVxPSECia/
LGmR0U9skcl2TFzKnuWadHfAJPuf/RLhnS/X3QNX6yyUkX2nvlI0XF9Ln9nHdRkHvATE2OAOF0Ji
Ny0Ewgo8I88R5MOiIUyu5wiiBW1WsDFf1yRFjjDjOj1NKWPAE5fsZe56eTDxFL7ni44qUoBDHJZx
B6Gv961C5Gi7R6Yypk1stUOoa5wAyBPqiDv3+QI6TU87cNC+Wz0ul4xXNALdcK2mYosPcIjgs2KE
CtVN7xKHrTdA3oFWRhXAC5NezygKpk3fJVbZ2z6OXNmEWa+KA0AI9WX1hQF1bCa8StAAxbd0Gcq+
EijAH+bgWvFqPN19qlBTb7TKeUeAo/CZDg0OdAbyCnLJ4y6gAFR7rlTecgfArklCQdt99viZPgNO
B2xEqMYl6veqh6mNO+3r1WTbR4Hdwt14My2qGWdXPutsMRZ/LstmNAQUKpCI5V0ydvFNOYy8ACbU
baJaoo7cBMEQf24j5RcfKP0IVo/VYMDi70jF2Ak+Q0G2mmaaLXWxpnRr7LoxXY1LabrWDrQcsf8u
yXjDonjLDiZfs7egG5S/h3LFE4gBUmzVqET0QQmIh0oAxLiXIEzCtlizDU0BiZFqmLswE62I2PCF
Z35Za5ybqOpQnzdDsszl9X3LH9ZkhQydxLK7L0eRvM+gLPrK2fEj0UK+L0bKCs+xhvYIohKgVO9w
y4/LRx+sYY/aygd1gMrjbrGI92joLt+m3gbnhWFRNwvlxYOxRl5MNiPrsRT8FrpAcQq6sHyDYkwL
3AZ9/qniPWl9Gupnt2zxmWNKbFwzV67Xai0UQGcmSDyF1uVJJ8OUNzsJUDgJSvxxymI3PiMtS5sF
4laz4FZP6znJbIvyJbqZNjmADVyj96Hb/DvpTFQpbUNEJzPeinLsfgMrDps0S81riXL/GKVd9ClB
oL+H+JGsCjzeOCD/78jclHceJv9ROYNVV9rvAJTNo7Lh1lWlkWGEdbA/kj7gqGiiVBxxHiwT2gyd
NGUBOAU/fbvO8fKVQexoSo9GZUameK/8EMm3oBzTFzYkqahTqPpnpaYIVhhIS54kPzYL9X9puYIe
tHzigOLCNfDAkWJ6R0crhXpeUi3T7MGwYcYur/GcabBJy4z8MyABvzExw2uA4Sgf0g0ozXZcY2Q1
4iaRoTfDObSDYPsZIPdmXjvq1+xHNqWSn5gshUnrLl1CEzSly9J1webFQbPA0wIfwUhE87ABeBft
KBvLcKP1wvMl9Ge7eaiYVR777JCm01p+y6fJYFOZFR/9iH0sG8KsQZ0HTqEJtrzvAbSkYKyAI6OM
B1W1IQuNRQOMPc2Agg5K/grnYCt0A0MToF6r1brxAY4l7TloIdV3V4gc9+AMG6Rn/R7OTy4pDVoY
mvh8Wd5kuXaONTBiS/R9iAxRz+4Zk9rKRq+YkBq1oUqsnj8t3120Vfgtim71KlOUZNWuBuwMpw4x
SUZqKNbXV5LmfUjG49B7V8xfbdDvcVbRruT4P7DwRe5vAqPRMN+wTXdjXvuQlIU7/C/23N8DIjD/
EKAmyMrC5ASmB/Dh7+bcFKLnYF6RHyFDiuQv1zvOeQb7aUlED9pzLd0k6lCkS1xUxTIiiFSN8FF0
bZLJF6/sD6Prf76uv7vLuCyMLc8RV8XDmmAewiv6+2XRbEM0qafFTy7VNdsk/gQ/BCcjbsRAwi77
X4zKv3vy17+IGDfejWt2GJbvdcTAPzMZEA1LEyIv8Uv8+Rfdn1RNkk0LrHldDKkFBOdCHyDyQRnM
yj8/ir/mJ/wV5vhzDsAPqZCs6Qfzn778ty9S4N+/Xn/mP77nj1EJ/+8rPK9wkVr+Nv/jd+GJLNep
O/o/f9PffjP++l9Xd52h8Lcv/ss4h/9mYMPzL21H89/859+mOfxtnMU/ZnRc5x0kSZTi4/8PFuC/
zHP48st/1/+fn/hrksMfj1JDNphEBKB2gWX9j0kOwfW5hKiVkFItMdABSSjcRn+Nckjy/4s7H/+F
UDRCLBid93/+BVbydZpDjGe1XCc/gNK5PquaYDTEP17g3z5FjK/46+t/juhggHiMW+efDHAENzM8
UhRpkRQXhMjSFQf6J9wHu2DgZilDMGPYzF2QosQbtx9/bOhQned2CCJdeSH5c7GWd1or9547Nr8o
CUwsXPTFbpAqZ8hVd39s9RuYxO7oJBsewU0G321RIOKQy3A+pWVXDFWWxb1+nAqAfE9pSnksqmAC
6XeGX1HG9ySFlP8KNSdG/xfwXSZHxY1Sd6VawgJapUNV6StOoHWliMFylh72vQ/Rf6oVkZZXhHFM
5is4omN0GYjPYbLEHTFtMYSpPgxjGquLSXsKaZKBWA+vdMG2kZbiyIguhdzit3RDacerXUYSyGna
+fKIvPGWnS2FndEBzqUF+9JtQWBdBVXUwXKWmfzOpg6TBXLWF80ea6/nFrpy6PK61AXwbpyhTEFJ
GVMNI1Ci6IIvqmubk+GmYxBJULYVmJ3hQsYcCCe2lU0p2Un0Un34iRqBAjYxJ4bupF3BqH5sOMGq
MumHE+ahvfQjJJ3KWwasfJInFq9v8ECTIzMrqyJEl0987Ye9gkMzfIWIufbt5ui5KP0dMK6bYbX2
q+7FVNvxWvD5oa8mR+D/9vkP47sVNO36ASpS1+h/kKBNUHryN+8M4mwkYhf4IJ89lUubdNy+7KXV
FRoscbR4S4MEIZisUOsR+1VxKOPpCDDj2e30DSLxbzwU2dzsWiLcwPv7fZgh31rzIYW+CCenE0d+
uylo0vgdrpneVH6jFCJ9AFIfYV/Iisf8TUGabWBZSEix7ldOp/xO5Hv3uBKZVxrbY0WsRWAu6Rrg
1fyYujSq/O4eYpDMSBKgPOphNdfp6oZbtC3LXWnWuC1ABoLORiJm8ntW4TwcaojZ5Se1sTsKhy6o
HGYPY3PbWjVnwXN/7Wcn1v/qkk4+ZIF5yQz1yGFs4zFUgl5D+vQ08TwHRRfmVSI3nGlTZg+mzNIz
9oXhsCwxOYDhT+tsCAiyPesvmXGBvBPEgQ57R8V7hChqMCafMkll7bJJtH2PkhkmiW6kTESlJ7PV
2R7AaQnd2EaBplUZ+y9RNoH5HflbMHbnfZ9Aw2uFAQcm+JptXYgQq2eXYc5A06qU/gbAunyze1Gz
yFSMrymvtJvBFwMDQykMce8mzw1WvEX31CTpHvyWJocx5TBPJqtkUYZ9szC3b1f/KDjFPLTPW+TW
4mVMuXrMYR9MqPRBOKsyzg+JpBAtiq7QdQTz5Asse1ObMNr7I4UFfJlsv4h6SxD6aHBj8b3qVvPD
jpioEXbOPSLyGtXO4bboiRujqvR++wl3Mgzbvki3izV0OsVm3VZyNLi1MKAG2SCozbha5L/1an4j
N7mivwLJcci9tcNvNDcEa20l814hL6jW+7jM9IdGCeniawpiP0ROhDfDRATCT6WqhzmIjyEs02rm
KzBCBtkJ/Oh3BlYENkIftHDP0EaqHY61mpMW0y/GI6RLWsXl/u6RTHsrKBqmkQXfsaS+xlCcqmnk
shWzgRMzp/cwonmzjDG7mQLI4LqEqB8r+ibQuSB4pzJ6Fy+biyph96RBUDx6nEX3OkNhRhAQD8i5
VekoLxExBzTj7tZZqp7RbwQvPNXF91hktOk5mWu0oQsEuX7AMga3ErednDA1ZNxCyNObbKGGoklG
OXw/anhp+D3TQQbhdlyuq5YjPf0kdpccujnzkFzH4ViM7nEcUtrSTZ/WKBxiRG4w7mQu97Launx6
AvL4MVmZnTAQgPxYYv0ErGNYK7SPEJlK856jE6hoGAZtnLhzOsIc4jZKEAiPlPndyRQQSGCCm81m
w6F0NmomQM+tkp5WW1/2iLhF2A/K7Z4CfH3Yg9DdbZSwatps0dDJx9A7GZZWEdvWpHF/HAg0GdBJ
ZU0YSCe0rMct6BfsweaOWOxacOg2JCwRMQqRFT0bjko/h1ZR9dH6bIGMgBKRUNJSmMl4beQ0e39E
moycoTd2tYx8CIuHiB8bmKA2DBKMnoiCoFGazw0TEslOUsb6C6GMNEnJt2ZOR9JoM59JQNCtBeq3
n4tX9KSy3clqD6FWtF43sqPlT+FyTn44WCv8JeDzT8f3u9F0FkFqOEb7CmEACbzpAXOuwlskT2Q7
hRs7rNSE5z3L8lOQFUjGqQk5zQmplrLnADBKvGbL2VjBBcR+N+cwusINgmoRQfQ132KkHG4wsKlD
oHxCsipZt0ptLLrFPaCPmqZDvXL+2+YjOXi1f+vRUUEzItjL2JZ1d52MurhyDFs/jKRPKAVrDQxq
eex43NWDi/T9irwuDncMa8nD/kNG2W9F5l+poeNhzFAwOJ9+FXBta8H1/DaW+FX7ki6wDr35DS8f
fbpmHN0zeLFCr8Mj0G72RGKpzmEZ77dIzuBtKPg3K7qwwWYKykNS97XcJA4Mk7xQmkNx772tmC+x
r+d0/Iwn9P8i3uQZgxKQzXMF8ASMvDpototb5MfXFqmxtHbJ9qnRo1cORHu1ElzDCrG8Dclcvukw
3h95opFSnXbgOdVQWBi1K1e4fGc4+8Cy5+YO867KL3OR4WcTIBeLhVs3+rUORtI/WT2ujxlg6o+C
5S9ZnsNKGvv7a/zilNiyT2o/MAUIqsMbPdAhfSUZX2ukPRdE1cs23TswWxhAAKHGunUDwgf1huYO
MdNexj+zyU9Zs+FzrmIVyQcX7eYU7r44FT4rv61chx829D8AM5uHPUwC1jo3uBNTJnnIRO7aaIf9
jJ1VGQfWf6tJ7Mg1EQAMWoXieUY/9rxCaw3hi7gAJUasYNqmevytl6SEfKxZj88UPIuE6rrkR6Wi
DEtmyg0yFZrstoZLlzdbn7ygAYb1YcJbULbsXeck/Jz6+TKuQ7c3TA59PffJzzHXsDVzGv+IehaI
GoF2wpGisf6sVgkXifKB2cZnm/8RjuXYKGn1C/Td+QzjubhzQzAeyZQ/7vl008nCFA3gUulPcN4Z
bufcFT+7vhD1EOvigZiMfs2gidxFSE00iGWObUYR4VYI+kGDAsrQSpPI5yVJFwpDO9T3noMYqcJO
ZlVhlO2bHeqbaJzX28NU0vGIjB6y7MVqDhEY9BYUvz6aJQ+OLGOdAHwz0q/YzfhXHHH2fVx9+MKZ
6U4hK+g5zFZUvN2cX+bJBQwDUeA+gU1fx7c+pmy7QchWVGQflgsJYiyIIVx5q+hILvG8uHoAKsIr
n06qyV2PxGmolyeze/M1LHfEoxXcwlJLciMZMw9pD74Ik8oWjvUnGaJSMzLnIhsgJA8YlUAWA8cZ
7YNev/QRdlgwZylAvZ2oJK/SUW2upQzr4QYZBwRFSggTrxiftOfvPQ/o3rjS42QF/U2wEBdvqm3J
fd+mPM3vkWkePlyx5gGKFfsy7tMWNRBTg7tx8vSjE9l0WLoSMInY/XiGLxU2rGQ9rJKUB2WlxSq+
hp3vnhy+9eQFttdFkJdVoDbW02w/JzFhnN1QsENu9v4G5kyOYt7NpjLCiS/RsA5VgqelH9dS8Fvo
N/NhEwZKcD+PtQr2UVfZorLDGk3r05jCvm+yvQPb6ihvHYvsrZh2W6XwAk8WBsBjrCCoPZcFW+QD
gHSfNQRC8Zzz+vpEIxQLQg1k0yVMtjhW+ifKTVpaaKHFvKYv0vQ5SEkUeLIsYIswMghSrWxzwBIA
ztS5BiE4Ynbc0iR6wD7qy9GjdMqTkxny7GtcUmGbfYUYfsIIPhV94ikjXRMGrOtvqUNMpsItvLA2
Lvu1AZTqVI3JHCt2HzClt84E6mQ1iZ4Be6EXiObguAOKaZzZggvEf3VGBoI11iT0VrGMgrG2xW+x
yPTHn5bVQhfDjl6oL5oj5P4RRSDhRErWO4P1WJV637Mmh7T4S5aqP+VWoASPzBDUMwaCve2Qjlqa
Y3dukb3kBx3r/XuIwvpmhSlejRA8ZaHCo8SvvfxhhSlF1fvgU/G8InF52RXG/MUiVU02RAl8KMzA
apEoMQiLwhkLMbHkiIEHUb0sTN6nIJIaTElJXzWqyNZ4T+p9iljb46xDcT5vrY8X09qxOAdqcg1A
UPdsekoOC1Dl71nq05PgoIc6jp1plJjzUFA5HGmfgImQWXmbUJFfpe5hRXY6cMcxTsFADQQW3/Lg
cCXVH96biuPtNEfjjFIKsCCmspW+iki6trhv4FASn7XzxtHf4KZE3JLRoV1hZrVkxDGOLCn/plHT
V5IU4hTQLkGuDifJtOZTCYjX6DoIgw2YbJIcMK9DYMBWETz84enBhj1Zz8c7z+1UZ/2ULKjA4fCN
2zD8ggGC2RQdJgIgUgswTgZYuxobv1Ws3kZAkvsyAt3ixuHQWbenwYTk3vmeA8Km+YnnNGvjERxH
qKW80DB6LEvEaLXWHgPfVP9dFxNDcvLq8atoLu95MCPtLELeRmOXAo8gyUcPArlKVmTRakEH8QFv
5GMGO1cNrjymGRJrlVTuJ/LA+lTScD+DJx/x/llLK5fBffFTP9YbT6A+FH3e5Pv4HTbTcB2sBxRn
8u+qRBPRl822zz8nNr7/4VSOsQ1la83EZeWTpAUDFSNeSboLozr7DgOjw5iXMK9RM0dhHUyeje0C
1Nv2qZ9vZc4m3C26OEYhLwB5pfR2hHv/CP0BACiMRsR8nQrdvTaot1nogFle5R9fanUm8zy2++r2
Uw+Y6Nc6oUVjhrmTSA3ClMEcPzFTQBFQyw8zeHMpBEX+pcSYT+haDTxsdS5VDvwrDvglLoR7+sNT
7en8iX4Npdg2wUBKdybOk1WYD9M7vX11pgML7ta7BOb5G0qpLzTATIRiMcXNkCdrPfsdhaMczt26
z7oCarCAXbDfSDTfrdGWVAOL35BHBV7h0vSgclCyK1Tdr8O/s3dmy3EjV9d9lf8F0IFEYrz8CzVX
sTiIg6gbBDVhBhLz8PTfAiVbaqpbHX3vCNvhsJtEsQBknjx773VGka/kEgxG7e59owusewJl1sqa
UwOlJToD/3pG5Wv2UxO9q23xlV4w9R/uu1URqoIcoPEsIwFnqy/Mzw054bUe1nKttPxxhOH0VSkc
BtuQuFa7outB8Y2eS2Pfzu/cqUVzKsNE4JNxgw89UD9MDn1f06CYhjviBXO5ytwgoO0E+mOLNX2K
Kf5zwRlntCCjSe8OiqvVrpS0Sps/L3Aw/tfAHngT8o2tp/URkX41ICSMHHWCNbdKOVdpYqnr3jYp
rEWqlStjTmOBpDFnxaYnb9tsOj1SF4PU7IH/wv+VFu5XwBR3ZlKyeLhxdPSUnh4ni80V79KnIFVd
tUsRijaj3ZE4RifGBDEeycPiOtTFY82W5GeixXNiLL1AVYT+5HX06+FtLe8EVV4srJ1hUQl/E8Dx
Y/YDYk23d/rqQ+jOx5EH3s8IYuD4064QCal1MqsCXuUclejb7Q+dHBvAuKo8vfELSn2fytRA8KnO
ddjfYjr9jHrKE48gtvHG4rYyFUnTfHIwhRJr+KGiO3OuXQ+G+RQLszm1gabWQ20T5M5ksYt0FW7i
Mhf7MeFwVltdcyjaUKdzgS9MT63PP5T2JBhiPyqnD2mILmHAOQE3UserpJUfA6sX7wbXStf2OA21
/yrAW43Tv2PtM1a2baGu6lV3rCuaUSTgfRFA6EFk1eizEHHf1DoBcs8ursw2a/wATwdOA4Le3cYJ
xWKK1aP0WLE/Cm8ut2k8qZdGYFuzAD3m61Sb50+pAaXHF1OqvSxYn2tHz7R9woZXr0hljnuXpOXZ
STkiOZ6bROsxDo+1ZoYb/JrTR+osXq1Q5S9xItzrVxPA3EbdJy22v34zAniR1hwr2tC384gB24oJ
XPs/zAAGevh8qUe3VD+bAbxWqvU8e/b2myPATvEpKCMuaj+esb/Eyog4LwTaBaKE1X/zBsRBfz+F
1sMPe0BYTe2e92DavHoEBs99HFybFT4qjHchkQAfP+S1K5rgJR8XtGUeuNh3F9NAxiFdOw0GRc35
1TlQtT2uYNNrx+2rfaBOYrs7mgXrD64wXSW7X5wEKTCvVcHhhvJuKBXZObusH2tlVicMpG6/ikqG
f686AuO7SSUBFv1EPNvlSNJpiC0dfBaBYCz63fzUpW32N94Dh6en8nU1tDvS3/F5VkrVazYswDp1
F1IxTUNLZLzNW7b5pRJilXn+yZSQdkm7V0Q3Vj87E0It633wbeM7q1MtzSc9VfaKYxg0RUPzHjOj
CT9bEZriugiDcFzTU5vuJhR6GF+8aN9tCk7DwXs02KLfeBWQCEhkUtbPEIuPCt4RPshu2IVxUN1i
ODWeEnAI49oyWbDn2hI3Ddwdwgs/3AysZeVNho/n6ZujgehlB9vDc6/qSWufUqXpFz0fpp1BYs3j
8NrIW5yGzt1feh1aErfvDEPSDB2Njre0LFhWV7nlFgY1YxStf7U8yNoLkwsdfnxsv1geapXj7m3r
MFmPaXMzh42ZkMVTxkbShrrXZyc8JiZLZZFF09dXOwSaL4XabIOsfPVERB7WKnTbGC3WtsrtoLHr
huQ+2OyHcs1hh4gQGQW8dIOrgz7JT3UwOod+0NuNauz0rIjgNFT2Qj+Xczk8wN9px5U9khyMtMH0
Ce6/+tC0W5VW6mJNg7vPI4Ee3c9qNzS66UuVYl3R6qG9ejVY0L3FIArW4V6nvjvXZTVsO/J+e9qZ
Dl0aLbqbogTn62K1GNEy/FA1+RVWpE9aL8SGxSnY25EFPWjxXXg9r4ZMjGgTV/IAgdO9KUZ7PAww
to625gDSsINsbbacOjoqRp9+c31sIq+7erVjgKz8WLij2PTBpG8Td3oB8Bz5hgl6I3AT2ooiyOmV
1dOjFkuihzWOr1e7hoYFZxfBPvR/8myUaTGRNHKxExHJXC/yLAmSklpWn+vnODMnn6PCvJ/q0Z7Z
yJruxnVK+sDCy7L1T1aOKWKzSQixpvSz+vSsOdV6sJBvfng6ROrOK6+cL1Y687/rwW0jx+l6ABqz
Mvr00WuM9zJksYa8u4lNOa/plLx4RW2vMGhgjxqicP1q/SgcrdwaIjX3A5YNM0zuZldxVDAtUp6d
Pq/CcL6WeA9XWVI9qaZKbuywI2ICu6mq2l0/m/2H/7pEpC70rT5TIf/ZKpJ7SXU7dNUtdOiM9GLp
srWL5SAYZdq1K7EF4e2MDlWhG2dAXJ9NzemuMNKRRWD9x4e5WEmgdL9vB6sDUzSee6XGQ51VT69a
7P9k67+cH/HTMAGJhfF3svXly/D/9i+5ghz+Yx7y6/iCbz/5Xb52dOZLkjXHfGIvDNZvQwi0ZQiB
xQbo6i6YgFcR+j/StWn9IXVbMFLMQToHIYGn47t0bTJLFIgIDCrpkGM1dPlvpOtfYuKOwy8iJI4+
S5PubXDb1GjdLKLzPi2syJezHawMO3z86Uv5C338z04PVPblIh5LB5QXgt5vQfpt2WuAxNx536UG
+4HTsBw4PXSx1Gw3v7/Un7Eb3y5l8rUsWiJAiLeoizIPRvg2ct6PPVnOGNvdiV2IfnmpEH3DuN3n
otZ26I8myxJt+d9f/pevExMCH8KDNw5vQ7ylTBvZ7FoDYJN9Ugz3Ru48uVgef3+Jxa3zk9OAdD2X
sDyDaob7Bqrrz06DutamTg9EtbfEcD9a8pHmDsdug+O0Pldffn8xTl+/Xs40kMBN23RcE37Bny8n
w8q0R69p9iaIsGOY5kL5paflBLSC/Jj15oMJrhuvbVhR15DkQEmqMm/GjZfWeb1uSpqFjkGnkVOk
mx66wfFyvy97tDCkkhArbuMlBYk/oWjQRPCkQAodjCSXH42ECoZM8dfCJJfx2lZ5xKWmUBm9bim6
C3mJGEWxllEqgQ1M4+OUBPU5tsMhxMTo1NEaj3Z+b+MBf4qn5dSU1/IWt6t1bdEDuLMt+rG9Weco
cm146fqCDGXuBevS7ZBxdQuSVTfPB/bsqy7R+q3M86+mk92VsfnJnt1bemy5j2aSH5U+fgh7E+E9
T+yNxvCMVS6TeZ2qmXPdcnJg4scan+fwpY484vpJdK0mW1vHHkq/aeTdZigH+zKOxIA9zQ6ORigf
HU3QmojidtEMFMGN/ou0Ne8efGq8nkSSXMCNhfetbWY+2CufDBAB+5LYxoifbT9DSdok+hhdFY3l
d1FAk9udhpNFiyPdDDWwPT8cptA7tG7SjduYIhrtA/tt5FrCp/nonBUuCv1UwEEXCPfEpB5MNsin
KO3r66IU/B5kYeO+FGl/yuq42zOislnFNX1m7qqFJSPn0FVmOl2jokq3OcQHrBNsmhhmJj8ZoEz3
U2dsexipj7gLadn0FVJyFBvdM7p+JYiVTOKsUePdx/SwN2RyxOrv859qLuqbvG7OgTfJbxlQs5Pp
HsCKuBKjtPd5wbPwGgSlFYRnNJfPUVpb0yqNu5DUuxz3ZhN7t3AEk50mVX31mgrtsmltwGO/epsM
LW1wFcg4RFchKce7H/FQWBf2Tew0W7JHZY4y6+CvFuGHpEujAz/2NPbhEU9+tR7VcKum9CERDQVi
n2g7My/6U0vhuYoJJOLCDYdbLRjEzoAptheM3CCX3ZoHixLkNNEOJQlG8P86n9g3eKKBg6xILeq3
MqimF/I0HP15ac49MsyJxrSxkyM5BDuDmklbpEi3aVA560qvuFqYksoii6TJZdJMsA1UNGFhdoNn
RDLsEm7ocUoLhtOYYCN3SlKnNtXqrukx9uRprq0Mk/aMGRDMzq0UlKadDXR4I3HmTOZug8T2HsuS
gjZPY7hxToQ2L588MU8b9G/9Lh4nfW/08oNDrhcnbPguLXVzJWBGrWQ84z0qO7+nTbuaTa2FtN2n
a4wHkW/PCfzYSt0mFaVuUc2f49ClQR/p6bRyg7A/BFrYYeLQb8cJq8hYhliBsEmVHraaOeXXhkB6
HmqhOVg/mgHVuKrLbWeU8qXps4Vsj4m8GbeVCuW9ZSmPBEJaF4fC6ZubTlPyhXXbPcT5QNRacFwb
yUZuoqjjDlmmmi9BlrbGSgZqeiiFm51ZkOaDGPGtk4J5rsuhASNB2npwg9InSg1sQI/OIanniA1g
lfc6cYswJMqR5aK4NLl7yHrjIc0jKIiBKPzQrY8m3Q0O/lqwDtBWrsIg/RIQF/bp8W0cqG4v4FnU
x6ST/bUySRSvrIx3jyXBvo6nZDwzFCc72LlR4xGI03U5zMP71zA+1RBX1r1kmvzM5gXCeTYmX71E
y57EUOn3gTObt3JOSP9kCJuwoHC0IwRLzApRu7ELni/BseQzpD/tOq3Qspum8NPaSR6tCOGHjA5y
cFVnnS/oyPuJyeqRuVW2wz1jnjMZD9Vi+Oiv88bV9uDDbb+qnE+OkGG76j3uO1nK5OAmrnOfNeTs
Cyump21w4HD6KcY5YxobgWEMaGBZnsqxs/ZWa1nXMGHSfaSF4QfX2uRhPO1omvP199H4IFi51qBL
3C1fUnYv3VD4FowElPs2Nd6ZFZmkIc+fWtr6H8beji52bc9PDalEGEbYYIDL1JcOT8U2zROevMlJ
9mZKHDCzecjYPL/SasO+AZd9a4dBc2B/HA49yPLVEo927BPEHMKsayNrum91xf+K/H8o8qmlKCL/
3prqvzBAimjfjwmOS4H/7ae+1/fISX8ItHGL8p7azLX4hd9rfGGYf/BsQqUxdSpfkOL/tadSyOuC
ctgFPcXMKEhU/63xJScDyS/Ez/XtaCD+TY3/ZvbJK1dLLK1m25E63tTFivuzObUFXK2qrhsvxSCZ
PDSQHlmVEkywnzpDf2tr1nRMxr7AKKGn7XNbmv0DtqUR5qFXfD9MYmf+G7Psm4rylfLFMC18vJhy
KWDfVJRmManUi7r+YlSFuITpXASrzikJweKAhNrbD2b37PRqqfhyt618QIDEJ4AKOyZtEKf47LE9
XPM7Ilq0WSYeZktzxW6yreCLgGk8fnNt/+0nNt5U9a+fGCo8MDsOXrhU3pTcZkycF+hme5Ej2zwt
5jl76FkG5LZ1JjwD/TSKZB075EZnxyZONKW6xNBYI37Xfdl+jsamEX6sKQuDUVySIGShhi9TW7T7
w8Xjm3bQGAgFNmuMF95jE1UnOOVYvJjFZl/FddTnu5+e4r84lP16G/Df6w43wubZkK9/9E+OZQe7
FYiJrLkwnIeNOOTYsaJzz6Ohim68Gcbae6cCkb3//WWXZ+2n44vuCAfsmiNxc+vLfywf66fLEhAP
TdWExaVwZ3GBwtxdgF7BtQ6ifzh1LvmBt1fydAPDP+EMz3HfPGeqgOJZ4Ru+gDgyX8Dw19kuaF36
UamKNogB2UxvdXJLP5HWkP/TQ/MWSchfaeiGZZjLfElWhzeXdxwZEzWAcuJUqfXCco+6mC2fATR4
Qw+d4mrSufW7IatQ66u0dL6QuoXq7k3mebTJzfpySCBiJHiwHyAtGJKqfJq+KK1Xa10D1eFbHobj
vSVtLAu/v0/i1xuFDs2yAarOMHlX3zra7c4qLCvQsNEEaBI1U2hWQqP0M1dY84rwOERx+jF0PfhE
cwUwlyBM7Buid762zjyX/hSFDrGlpP8S19L53Fsqco6//5BwFN/eZIkXnzE2RJCxcVrOMs3hp8cJ
JTLWkevkVWLC1vTcdetF826ZIeBt277rgLxWOmaSiQ4ZEX3Hr0Wxa4xa7TIT31OaVfmdYmIiRvds
CJ8GnIGHqSGMpKxKPcCWcdcBFFi/w1sTMw5EEicMkqa4DEprCB+SUws522Kxn8HL+UYf5XsYJNmd
kYQ3IUyZcZV1TnVpg+q+NXJNYuEx+CLjyWBtMDlb4oJ0k3MWWe5zoEM8iGxXnGciQ54/6BHJL575
+KC5NR6hYaKTKgaLsi4ZP1H1t+8QPAgD4I9xtkFTdQcm8Bn3VSQGpiNweIxXc5QGHz2GRhD7J0iA
7w72lFINsTogRAdRednnuFc2773M03dI4aOz6slbHeug7vyJ74EEnOFdw9gYN+S8qq0Qo+g3meVw
MOsHAPt+j/S1yRtZQxLwriPqa30NKrjds9UYmBaA7JGHc7L3uACik1F76p1FinvXUTMaQGjz+cVF
z9lgLk/mbc9xe6sRRHsBRzF8BRtIUxvIn94hGht9uB1bzKRyGIbNFPadu63LIFpnrcz3Bf8oMQmz
LvmioU6tcCMmGlniAZ20tEY8x20W+LLVinxXc3YNFwQnDllhruOmhjCX8CRh4m0HD1+JdMazTeg2
CwCHVm2er6Z4AcR8joLIMOZnzgbjErj1apby8pMx5aiRNfn/rlP6BUs0HD4C3dW8AznYBrDb4lit
Ekxe73Qmjh2SSUq8BdyDYDXBoiF0HMEDWhdBwH7YZulQbZjRFep+nbUiuI4q3YbGlU7OEK2nMfPa
s920kidqwNvZDH7HXri1tSgJrnteHRsHnqsQHIRkxNi2yOLaW0QfYsobOmS2rwVkbsjQBXCPATQG
UNHRAoZgO2QOAngTUBVsrSLMZ9+dLVbMgsoZ1SuqtQzEF/mOGxLk2MTKMHa/EuMgn7HWS6Pdxabb
uReL82dwLCSmPSvxC6Ic87RvdFY3ZIMwwosXoI1UW69uihgbtJ1Pe71pcuVbBqFZH9cjXv+agRCa
z201njSVz2JNSzPN1/xb165BimgQxNqieELa9/IDOlKbbdKote9mfE0AqYifC2IZEcYUgDRG1O6C
usd9wGYsj6QBjXTbKT4BxsAsnDeuGGdCfMmkhqvchTm30XhVamiGAgWZXFG2DgMZdmsHeihNGaeh
PimYFzp/IZjpoTLyAbAhoZxUB6HH5p6YW2r7AP8quY7LOFjPXYBNgtCq8pidMSQIQwCPZ8K7yayd
OMmbW6ECqFtO5DlqIxj4Vx6iWBA1Sb3Fu738c6gkRH55fEJAsOMQA0qA8aF9qMm4TlDaeY+Mi5iZ
E4hfrzc1eT9lg9FdbOVN5bogC3pldQVbEoaWlB/wAE/gLI/BFj9DDymiY8Vwh3HbDNYcn5il1N6b
RAhfrDHg/OfiDJFA3WFDbhp7jvnw0BBhaEosWT5xyk3MII/nDBcXHp0w6d81lj18VHUk91gEw2Dj
phbum8IN+D1WVjLKpah7cYHXIs3bprXEvWihcqywEzau3zIAY9z0Rp7E+xrnPPgpB5vDdaw53mOh
V8vDmSRVwxmziZqbcTJbF3vYwL2JhoIPVsIpEyd2MO+RQCpPd84qWa9RM8fy0DZeYNwkNSS6O8Mt
PPMwmsnQXbVjuxSf0TTeWCnd8k055Fy6LOcZQcfI2xmYmrP88ctHH1if+FyEsS84oPkrugrq+ypC
t5p9L+15dVQWpvFtwZwTQEMdVUHI/8eaarRFdF0Jc0LUkSrSud1MUuquci0ijBTrXQVah563JGtE
qIu7zsvk8xexgAAWWerktsgfA1J0R+jCMSYxEAw8F1NovwwF1h/4H8l0J9tRb04hZW5yKvGfJ+9c
dotdU+jiUnlh9Wzqhl0tQYzYOJZ0eboTowkRH6faqQACATXeKYOvdcFdTZ/SLLVuxq4BhVAx2TR9
Guw8bPYghvKvjEJY1pCYlMKac4ArN7ExRQ0Gotx70vQgpxeoQpALJsvcVA/RXQwp9ATHJbHWllEb
MNoziygd3RPvsab/Gm4yo+A1oakhvYNJ+7H6krMgT0dX8EhtoMPxjCQWUJItmJJ+wyYzVCdRd4bt
B17W9uy0sicaUFfJh9oDvalNlOnH2Wtr8RkU5NQwAFk4PaQ5g1815mIBCA6QdA+K24INnJAzI4f6
vr0aJwcAR99UKxeHk5kTBN7PtP8hBRKdnXeKiEl5VdijedZaIBebqCry/hROg4p8Qi95dE8lgpMG
5ivpMCdu+lUaNTR/vKEnklMAsHmXAcWK34tylpgciBKm0wNeb83jlwHN20RMLAqPWqCGj1Goaz1z
SmgYHmI6+bdjowXzru4IPW/iueMhjY02kTdYA2frkttqgVupXrevTBFB7ZyobprNAIsLjK1bIJbX
MxY09PqGzNMox3rdZ0DsdrNb8fSn5khAb0IoxjCDPl49DcxJu0+ipTvETuc98qznZBQ9umN0z5TH
pIY8spn01T0zimdwxSpNe+fBoi88IOeGrQmeMGNgWBUwQpTNnScaI7TkbnJwmMZzLNu0PDu1iuQN
JLfMPjAXC0ZLPI5aeJUS2hjWeYNsuqIa69qrLAv4/DVZuG0TuWkEKlbXD1Nl8t5Ptu3E9Ccj5+q1
Kv1fJ+UfOikUChxy/r6T8v+ZFVc0f875fvuZ730U1/vDZiiuTjUPrvWbIPq9j+KZSKiMb7U5i7x2
WDij/4j50njhHIs6ZVDTOJxkvmulUtJiEfRjUEvxVC3h4H8R86VJ/ufTBsMV+RdAdOQ9TPHWW6g2
c94MTg0dHffMBRRqgUavi7bfzQxWPPKi8vpjwgFMOAzTZwi8ztlKTWBWriC0VJYd/qRGaS+UVmCk
LNO70PuQ9zZHi3BlK5s5643pXCLCPHcThvT7HEMkLkWypXloiw+lChgikzgkRA2bxAswgp7ydk9X
HodNnHBmX4H6mj/pKtX8OKDDj5GYziTs9PQIM4P4hCPpocoGrE1bXJWWEfvUnmAWkjw6ir5h84pz
isBcs+Xa0ELnyAwcGpxBNl7jhc5Y01zvPDVhnxCvGo3bUes88MOpfiWmWL+aGPOBGbGU1dZwRLYT
pRG+X8qUCyvXDT3f7iowxD2ppnItbOAvRQW+bKVXSn7lWLmcZCZivqIvDB/5sL3xJkHPH0Vmwzxl
EDN1Fnc7K9PV5wFBcitrpqhhNM92hMDSh8pM2LvGzMTEk4/JHvozs3jMATieMwlKCKN7Kt04gEIS
DbdtGc+fcIpO7yE/ydsQ7vAejmNNjCEZby2bL0fHv7alldydoF1VH3PZjWsAZM5W9Vm/c0TKnxES
izLTItv3xetB3uw+a55EAbMmX3rqxEh0jmXauOkQuJgqVRbrhjBWnqqcc512ABiTruF1zE/wm6td
VfXW1xBuD2ylNoZpaQ47RmcFB4Mh2TdMKp6Nracl6TECGkGAZ066kzKn5DEkcvfsVDajSFGiQOfZ
wzvVD9W9F5jx1azb+hUWpLFfdbAQn5jM2JyTTs/emaWpdqBMDIIJTOrbW2PmJKs0k/J2npz4KgzN
eTs5DruFpjB8sVkJaEtt5XJkIutoD7F+Q8bMOZZhawd+MpvZpw6Y/yWwbSSqsZMnu1XZLlc2kDDX
id9XTFm7YAC2bgGuINZTXl3YvOTJGKxlcksZXiPvNPfJLD2c4012yLXuoDAIEtsrLJfeoTKeC0/Y
V1Vost2JTO2xuGGDJ5eWbQczsq4zNZyMaDB5HKt6r2Hi6qKwfYk6aCSgP1OxMVTgvFRy+GJVY34I
JwX2dMqtQ1kF5tbh4LSenMJ4lGb6aRqkCn0tNI1nxy3uy17Oj02jJlBRhX5bRjZZiJGD75H5kVjj
Ubj0S9QLRNSBQT4vbNXJjROmFVQQKb1PUECiXdHzQyEa7QNdDERxqdUbvU/zUxJyEwcp44PdgaZ0
GVP1zpFN+1G6Xl+v2lTct2VxoNa0jyWEmgJ7tD/bDuHfOEvSWwIQ2Z0VZHsbt+LRDubiABwGkInq
UuAz2O9ptBJYpzbdgsqr1k6Djy1AxLlTmNS+zKDnfJkm5LMj6NYQwdL34OXHB6dQeNuMvPS5oQ7R
5yjF4G6DtdPqkTOjjRuzhrnke97WapN8FzSAaMHOkMfNbvsg6N8jYAJls6W4TXRmgxVoN42fDVjm
C72vP8l24pOY+nrQR4dUyEDJn4lOo9CR7nv6rRWNCn3OYiyuS6pynsJr8u7pThtbjjnTZNHj6Ud7
gbAM5JaDCZ/b3EB+KrvOxVfYP4TzhHcwSz1oTnUIe5M0d4afutZPoarU1VQETFcT2vvESGt3MXtR
uGaes2IF0H2vLmw/0+InEJv6IdPBLJV6Uq2MJC0/ZoyqIqIWebcWsLJD01gjfstQa2/jVkvXjkMc
A3TWi5044y7RLfdGp/nR+goQ5aV3EWjdIJ/Jf7qZvQHN7D167BqXGSL7U+0SNiD7+8FjEOueHXH2
yVKTNAjNmEdpSM5NQnSSXI93zjuzvmmToLpK9KGCFxVnMEFztaFJEG6FB2wQJXbJKVbyKeVEsydN
JTdEs8ptNCbGF6T27mqwPPVi4u9nc+lm832UZ/EDwz77bGXHqbeViRciyEXEcKeQylgE0Y0QMYu4
R1q3D6vxnd7x1ReRNa+nqVVopoZ7wmYCOnbMyuhaOsnAg0YM1dNMCxS33s07koXdroC4eUi9WT1k
HfR7oZINs0gJcNLW2Ki+h92K/X8GyqbRkbTCcWtXZX8RfWgc0dfTD4A40vWwSOC9YLuNecVPDLNX
exq3zFJNq9p7BhwQr/Ni0N9nQR3sWZnIQLTGejJs62bG8PFJmQ5+WoZZb+G1NtciLrKDZWqM/WIO
1G2GwfMhRKTdCr3S30V9DPSvd8CrTnB9tzJy6ks9VR8LKGqf9Llj+e/qdobuNZoh3aVBrCnroZs3
2gmSgIGoW9Qxugv8OAatrkTRgU9HH9dv4dnU7P1JEt53FoXIKulAFfuF9Nrbimzbvox4pVejcoiO
zk0N9g89ovrqwfU99FlEc38ctHMMNhjscn7T09jZt1b3bNUWKj05uYhM39B9TFv7GYLyix50X51s
fmaY+x2+a3Bd86C4XpUfaqhum7qK740qVEfaus59r1LjMcXL8Yn+x/hUB/xgX3Buf7Hjqa3To+LU
q3dHVTVV3+4ye8R9cUWpBe4LAmKKvBsbZWsCdYyj82hYDhw0wjQ3VVtNNtHS4GvHxBuXUcMDN46J
AIbaapzw/KDUAWNQ9exyOFBXsaq08lmxgFJ7ef1ajEG6rVJGVh9djaq/GRJjTZGXngTt2SPWZOfZ
osn5QXeCMLkJxig7OZEl6nvIflGwy2YOS4U/NgNcR6aBW8lnFzlHe7CqgASXiBh9zDQBCNeHakno
F69Zfa8str3dPJHzhfYxhtma+dvw7kLzCbjQsLdjxazVvO0u/JPj1mPSFrCQ6BjX5rnziPIxzAJh
KcXJ9gjdU9tTizwUc5RtIttwjuwgDFfU4pDRABnB4UJMlz4Kq0vN3TzOLdPyonh4WUbqHWuPMGZj
at1OFCPR524ptxgt3zH+VNanOD6kwZbJTMyWLYN2z3gI008rN9410Hz9KTDhDSBLJZUWHmYzbEmy
BgGhTCM+tjoQfJFldAKEOkcBrvOJyVIfOqwevkvnbhdXfUzEqfE2dISDTR1nJSE3U5FwxG+zajk2
Mk+0c/edroxVmxn5Di6M/tXsQI7hD1TQVfDpSfHZdgvbfWr0rnCaT525iCoPQQU1tfXpL8QMyfzf
Ia5o43b6h0OcIcWiyP79KW7xvD7Dof+Z1vT9h/5jdxV/YA4z4CqZAoQuXsz/yuGO94dj6wanO+RU
jlA2qtL3YxyWVx3jpoVUjksDrZrD138srzogJ08uw+BxInKUs/7VMe7PhzhglbbkECnlIoy79lsD
pejtqtf1sDwAe8bVnhahdS3rQV2YfO3+W7Mm12IKmM534ZmcRBf56id5qm+Q6fAkFQeHtf4y95O4
JJ30Hie+gXNVwdD46Vb8haj7Rg5b/raFdAUNy0GSocb88/VqDdMjuUeulwOYXg1AcgI4Ciit7WhK
olWBzUFqdAUTvGPj/vcXf6MoLxe3dCZNcdC2kVvfTreqNJ0AKBNHD3Pdtp/zLCf3nInePU9iHu/G
YPboTur/9Cf/4oflqnxbqKzsLDiNlzP7T19x27RJPbgOu1IuxpsUf9FnWHb0ury4Hm9CHSLV7//M
Xy6IL1vXuRxPL1bGtx5f1IZRkenycAkF5enbKSFqPdCRUvvA4GD7+ffXE798r471avXFqMKXa7iL
PeGnv3BqhD6HwcjQn3KEptXZAV3vea5wELiDieoIeVaA6yxM4DipuOP8WDwihDmDHyFeccRwGueu
nQzW/Lq3OghfKmrOYvTG95Ph/sNTYDl/8XnhofHuYxymJbPA2n7+vEXuuWHC3rZHrg3Ney03rODU
hJnOrOOSQyPDu8RwZCDKlIWQmGnz8w5Odxoc0T3Tw2z7GDeuPOTkw19C2dSQOuyMZ4nqrTwxH0Vc
mOBEu6LXDRqVr5JBbgCXB3JvoQ11ZKnQY+sY4WAyZnerrFFcSLdwuuocvTwpRi/cidYebwLUTmgt
eDSsj24v1bS2iVb0CBMV3XGUnvHGZpWw18zrS70lzqs9JVnkMdiwNmoeuSCpmLTjNJgplhBoJMSX
pf6hnSPiOBmvWtPrzduxmIZzoUfoWbaFgNx7pokksiwEqLq8p2PfjDfa0I43HnWp649BpZ67xFDP
c63Lgw00hUZ+36tnN5f9/7F3ZktWG9kafpXzAiKk1JiXZ881sGukoHyjKCijeUrNevrzpcBtKHfj
8Lnu6Gg3uCm0t5TKXOtf/0DP0MI6xkCJ7WvCS3ufWsp9IVxkuodgwLSlGMIaWW033RuNYT26HZ0P
QyAmNxKs9aKc5YQ0rgOo9hyLsqYN3emeloFvCicfGnaOD84WVDp8oq2hauqD0X3Je+5jsAzcN+VY
j73koYEEy6eRQN8Xj+HIfRJx1NNQu/ZhrhLmL3JifIHJVTjdf1urMez8fhtD4OvfJ9nUvuYp1dPG
cfmyYkY+dGzHgVGOQawSGlk/TIoLQmwb9HYelMjVPij+GGNV/4QmB4JNl2HTsC9mh3VCxem8VG1Q
P8cRjsxRU8hrOSsNRONNv3GAtFPMkWtj68DgvVLYtBKNjn4Mxy2GfbvBIyEVI/IWm7iJYSKWLHo2
M/SagCSxH8CHPQWqH2v9XUecbzdBVKnTev+dqUN61QcOVj0+xsuBEbfbppTmef0zGDiX22I2U/aN
JT4ZfNe72O+G3RjRLIPRs4Bj/Xp4JM7XJzKawvAK42az3gLLkVfXTIG8h9FjKXyZaAcwIM6xXTl3
jdcy9MbuQkwPgIgmouSwmsLhwGR0xiTI4AeY/FqYE1qdP0ww3A1mey3TT+M4m3067prImMN77GXd
HCEljFZ6NubV14Jo22ew1/F1IAQGX720XZLbcaaG/dhy+6H7luUAoSLG+mwxEdUbwUC4hEnQrOEO
Lve5fcRAIybgG3AvLOV8IJp428QNmjS7QfEapPbZJbMOn7HxBGF7gpmMoM8jmH0b14gHMNmYmaYx
P8XxzvrUmqLZwUUmQBDa1Y3hxd39yCwkopoc3N86il6H9dWO9jaSyXQ1kOJ3coIqguOPawwUaSRi
AVrOV8Yi1tnD4OmyTGLvXJulhIm2OPM13iAFD3wycApfSLI5lvXSvUq45yMKsT5KdixueemEWFPt
yEwg1BDaU/hkly3aRctwPnRxBAKrmpfSIqQnhfzunJrRZsu2fJtFh0kVS2rO3PY1tvgN+u1+uueY
Yy2LsIyTk2eEnNKLSo7wUepn1+rkUzHH0JT9KCiQ2A/DdL8AOT1NhCSca8eqn+dWW8sO2fgyMbl7
Sl2PDbMS2WNKKMDHVC28WHJ27YvQxAc38W0bPwGp4SoZkh0wBhVSiWK/JCkQJV8DqMAuAveSwb8p
Py5tbf1WKMNYLhasUoMLG/Nm7AOsGiq0rSy6PE/Y9uclGlxvT1jC5Z9BRqpN4wvIQo9+HGMb9c/D
jGo5+g908xl+YsN44dq9MezssbG2vJf/SjUqRXkzkVbSHxZHPL2NN3Jm0RC6guvL93gjdAzOZzKg
+PM1J5b64MZSwJYJxkRtGghF1WEJKsAhEWU9bRExqNdgID23rgjrzdK50afZD6pT4pTBjR/baBR5
q8CFa5Uxmw3b52oKqEXqThuHMKHfZtbAY23Qt4IptRirESIUgRIE7XzB/C04kyLJsYBFD6A8zkmv
Zp7Kazd02d4yb2HRaCbnfcsAd0d2sl5KfVTGuyiurLMtJHtp4+FGtUklf89A3tARR0F53Y48mm2e
S/bBok/5TD5CkE1SO/yLOAN7ww8jktdeXqNmjQSctVwN6jTDPASadKO2PWKaFVwTh4W4mxxIqDIc
JsUWydd0i4U07xKz1vzoz5zjleLCdrg4L8ucsuGvW6APAV7tid7WS3808/hWe21hh12PzjWmmSaj
e5fBouqM9rXESgg9pK04+cXSuC9+zvnYYtnLiM9NMIqYm4rBck6YHhXDTF9z/PaxrNJlHtDEKZVE
aOim3yc98KrJlTohNJluu4Hat8CCELOsnNmxACZC19vPhTO9t7xIYCujZPU8gjLHN8Id+NRJUfNd
8e7gkmA0s38P4SxvOS08kGq0ZbTfmK0hHB58H3m24132GXlndKfu/BDSzT97scXGOisjvR5rRWP7
7wOtHCAhZuR4vj3kOP9dYndhfO1UI4kRG2EI8ZmpclbWg5hGlkWQa4OSRnbWI0buHE+RmmDtKN+B
dBBNib6jmIoTj+jOHOt9HcArRR7TlQ+hfqJpSt7e0heau9HyGA0La8NNJxaTWC6XgRWROIEbmk+W
MeOKzn2itHzAIdvoHwZvyr16m6CdjYN79APS46iqibTCbipqZjg9WWJEFgFOVMtgXhjqo/Ol3MjN
CsyHILlsG+ZFsiPbnKwZjzgpAkqoQXwRm5cZTv9nAi8GyLPxvOe/6GQcV17m6VKjKYqb+worhYsM
j7BPkyGTS4PcJohJMUfPHBSnCN4BWL9vHPJ+XCUEHt6F5DLAjCXDpg23BOLeYWGY7GwV9eB4Ebw8
/B1Bbabmoho6FONdbt2XZHwiGWKTwCoKQNTKqEg6r8i+GonjYopYhSecIZg2d81AQhPml1t2ha+l
ar4a+XwjJ2e8YF1TGPSNiUtZbeLXNg+7AeTfa+fihASBNFtsKx+Yks2HlEMU1CUmFofIcMdkNo6S
vrzjaXMul1N+ycmHOhlrBdw2sDcMCm8fyfx9D3V7Y3Orbsy5jj7UhtejKBH2uRoKTZuLTArIqTnm
Mkd2M2BQa91T+RF4gIf/V9cLXfAl8iIAHoVMSTkqySUIg5ORLsxJPB6Ig3UrrDCXKEOStE0cy6gI
8J0yOIHbzcy8kh0k1nIkzit2Q9h6V30jjAvPBr5/32YYkCD1Y7dJPMWKXIaQZx9OObSdORvTZIun
29+14rrr+IEOjG4SIMK3XYAFCwjibdu/kOMpOfHqU+2uRf+Az/1G6cL31+3aX7ofLmQBVDDaMbGX
fhtFTgRo16dVV59y4M8EZrtvPTatpss5k1VdYUlL67Juh7++7l9af/0FTRPLQTpTfK/fdF205Lmd
VlONk0ruvXRGoU5FO8HeGv2Y/asqyvne82L24mbQVe6vr67ZwG/uLvR4umJecD7EW4/5GSPGfCR5
7DS6IQ0I+XviMdC7brqS4zqcKLU5q6It0ZW3cAI29/Uj/Jd28TeInY3FzC8Ru48v6NPLiIngj5jd
9x/7l4TFewe8xupxGf+BzLGsf5Cw+DYKAS08/hOuk+9M3dtrCMR7o1B330GOsGxpW5AyHK15+Ses
i59WFqASqA5xxEjnLeQ1f0GVlmppeqPtsb0dcliozIX6OwIKOm8zjU3726+X8c8v0XoxiOTkX5kw
UPi6b8CkyJ0csts65y425vqZqAvxOJO19JQluD3SiZj1cwT09iKHVJ3+H5fWEQ0aPfO4qT+jJomR
WVOHC97dIicuLRUUr2Ee6Qf83uNkDybeq9ZUFCdtuLCz/PryP6Na+pv7whFsWXBleHBvLy/sJCpl
mtt3eaFR0cAY2JjNrl/qy6TSl5vgJV//+ppCayD+3DW+X5SlAlYE6uy/VeuXDPT7qJbijkJSPJa0
P5AcPDpuHTb/tBbNDlmb7KJWr9ojO2v36tU6ydyg09g2DIuOtR+l06k1FITSZaHgRDQPMRJHKNO6
GuoQiCBZKrZfupcC0yWc3+2/2fx+3vK/fQ0PVBpGCJu+7bxBXYMxgBYCr/iOOTVrpc8hj+Z9Nh0C
lIePeTJXVyQyta+/vns/b7nfryp5PVCJcWH5ZsF4Bjb+k6uYo+uWAhfBBB/SMv5qphNmQBpyRWpq
nfEZxqp+PYh/fX3e/bcPz4aziUrE1Aj323dlkJKMJXK40Y9pNES/MMjyQV2Gxjr/+lLWv1kotiV5
swKTC7pvcXQSbbrSNHvrziHi597AcypDLq7jzOEOt69T5pAYbXr67TRpV6hPeVkMhuy3aYYT5a8/
zb/74jaiPdu1GCP8ZdUKUvVkw5Tqru+YTm4dP8yraxyhaKGSMpP/j5fEZ9vjveQ/PoKinzcGJt9m
YtiDuKNiRxlAVjeEVH2IrmAmBuUO5nkt/Q0ceWgMNAfnYpDkD8+pZYxwp5bqyvAAC+Cn4dOamSK4
7rKB5kdDoHE8AGqUc8pbhjnTNF7K2Ozzw69v2Xr+v3nTfS3FMi3MTBBjvXlF0jwKSX+V1l0YEuFz
WHx6sXXdTF1RPytVGNs8GNn3Zm7g2ppFCSSPbTvL5lSvIGkClS4/LuNC62cBYLyugOevP+e/2QV1
ugh1G/Yh6DnffEyDCnvwMDO/cxefG7LeZnr5+tnCcuORDvLvVrY+QX96izzTZVVz5lIwEmHy9opF
F4kUXXp7N9JCX7ld4b6EWIPyD5vGvDft6VbZHj1wmISUceaQxuUGeqF8SPqMMtou5+7VrgBlU5Md
wDR4CRLbCXAMYk2st6jl1PAApDUKQAT41Tp8MmhbLoTPF1rmvrr69W3kG7z9WnwTnrPNyoWx6b2d
WSxBJv0mmaO7ilWylaSRql3qG+lNY+f4yJV4Vo8I2wb8iYULzrElLTqMDzKOcLzM+bsZPU/o6kUq
cG/X6qZB02hOsdf2Fmr7CFdKI3SxmWaWLSkt49Gg1SmiDqZfVanNGM26B5Q+s2tEgrwZKSjqniMA
pRMW69XGCeryri+7+Cpoi/RaFEF1HtIQY6mgUqCrtciNT2gOshurmvMvZtZaO9I1cDET80Js6Iyo
/3V2q9m77Oa43CVIBapLU7qFvWnstL5tzBiYHmdYTHUgWNBLoyNt4If4Rv3Ulzm4qx36/oOUDbJ9
bGsyb6PE0ABOuZFigIXmVG29TgSfGwOrwm1ZtF12WqalQy/Yg9dfCDps4yJkGHctol5rN4fwEmqQ
fJjHwcKb2xkidWdoeRNoTVe62IiIDPN28PEaPlqRY8yKniTckZMnn6K459jNWCM+uR5wUiumZw3J
4NGe0kDufasDTCgAiF8IcaBMWEWclIBsxEjIgKWSWWM7Phm7u9DGBTAg1wprWYtI3Guwu6znZLZi
i1SHBW6LX1/Sjqbze8+ummtjkoF1iOaqiLEVTKbggnSZ+MzkpfsSEPIBmwtM4GgmqdpJcqvOyPnV
QcF6qZqqfh5Nc/lktUFyKbCo3iG8JnePvDp8ErUoBGDvQKxc9VshW/dTZRsuQFkdv7JQpt8j+AYd
2quo3Jk9j2cbhx0ZmhAUd4VFdDULqzBtcPVymghVMAyMJND1Og2+A/h9RPWj4eKRcDWUQZs5l2WZ
y+LRH+CmQF+M87nyd8jumDcDWqP6xtEDECMU/K8F+ORi2ewkhhVviPadvWIXEKFcfyKF2bP5uFmK
J9iMFAffAY3bQt5n0JNl3OnSGKorMwoohtjBUbkGo1bj5GNNDmAU5h+AsHliMyF3Z0wmaf4GXyOA
2KSB/86syk3MeDo7OGXD34Enb/2MFIsn61kLD5WUEGNrmirYjRJdAPI7THLbbGDLThzc8P1g6bbL
zNQldMdxEyUm9SpjCXajgonROvMdhWhfWxDjC68HbTIc9iHfKRiYKmD7TcMbGmyLwuavnxuXD0fH
wZDOj8KnXsMA2VyQhV1m4rExtYs5QQHyuusG9me2M7IQckcW0c6yOv5NtDCC3qDKss7CJMZms/ho
bw6By81RgpOaoYnNn1CxlZ5xTWSLWVHNb6MiH64TEWkc6onBjrrukdRwwXXocoj6KTTSsAra10bq
Wyn1FKxte365ftoCn+d0w1Bjuq0oO3FgcZP5lrxofpnlaBJvSjyRTlGEUKhfeCKDQ2U4i9F6xOZf
7oVAntMTqvlk56l4TEPB8dxhC7Nb5wSz4N5j/8CX4pXkShmmMK8EKU33qf4VcnOEQhEk2AuT8N+X
IAfgxPyrfa018rlqe1ISr4koSNr5fi0UFrw3cHXRiIGYqO/TNufRal4CRL301bFzn3uh5wQV4/2z
GfNKe1VonltCb6prlhHPTuhPW1aMLJOWYdg6TDRTkyK8qhq5d62sfiYFiNN8zgRD2FBIqvR2AWQc
Km+GONUqPjlpTVRQVTWi82gMBdq6Fjh4+hIJv6Td67fmZ8UP5lRqtNKdsT1yyN9gKFLjmgtjcQ6u
Y8J+XqCLAgJz7PABa4GqdBMY5ZjukWaFn3Mj5uLl+gpZ+IRMh2FSugzi5CEfcbwLnJHJpGx5RnDu
Ke74rSTTSO1Lx2Vvq3SrksVFcrRmi8IAQeOFx5NGy277F3yd6soeDO+efAQiPYw459MS5aJO48iJ
SwYTdTlhXWcTJx4SOqA7qX06UK46qA779/UYGTHOkSE9oOWVrFrIaMingID4MCHKgg1zLu5ZZwXy
CSGn/5hmuKPsu8YEdl+nABh5uy9xMXJPJ7wzaQH0JgCre7qfE4LpsQJKgPv1NAiLLF44T1++GBna
EntIOdYxUEqxuL2SesRJuU8MbmjzVBPRBuSg2vo+jMzT1zkxeOOE5g6tGdEJvK9mjihUJEQm7SKm
KtdKtXySdSU6U2ph/56wBbgw+6e9RfCOTU3bRO2tnEIUdEGlH1DaOGxNZJE2p0JZ8ikh9AAfVtrR
do+tpx4MBOTsbMQYFQ9MVt0XO02tR2EE9AAypQ1xVqqLrdE3W2C1uWGfZ2gLUb5+9qKaF72BYUxA
J9+Qk4gauSV1bKMqxm5rw7uMBkN4y+YVjWhRE7ZuczPS0j72Df8SuyweS6ertAXFIxifLszXY3Mm
Y3Lc1TkqXzvQbg8LPkHXpcDVJ+1FsUP7Ryej75qqh0nu0tHKl53SHyf2+BZZEjovtdavbksNleZZ
Od2by0zolm8vCC9bYno2bhuxHSUgqttvmFrcKhfDbpY82oqMsXucaM7POPjNaU5cCBOu7HP3foIh
qnCT1zMCQ5nuizPpnYU/jZhyMmlbc3QuWVORAoZ335iTH+bx03kfi+bBMsXIEgkzbvSi11WSrnvf
JLCtqiJGhzGlSKRbcvTWCxEWrIn1Bnzbi3TjPmh+w7qxIh3gxFnXLt63HGtTV6vT5CfzZ8UxdLeu
Twd38WMKEHAc0Ixk7/0+YIkEZq9ODIeHyziaIWt/WxCkSARfax8z/i2yTLj/aSkxv9d8ErwaHtdV
4REmumzIvWFuBTHgaGk3ktTVaEPWGgkM97K0yBR2iSHdzguCGr8RgBDK1cOzRH8hYyxYfeg88q1C
GN8eZwohtWO/x9nC4Suw5KxHN/aqcWflEW+WHzacMD6juENVs2hAitnt7cS6wShyuaNTZ1GbBjKV
bTeyaa87oJN1iJ2rkGTVLf7Z+vjuUu6STcoDYBAHELlxkT2P23ro2BSqSA3hoTECZozlOupL+47X
zG60YDeqYb98o0vUtGpPUs8bIxcHVAY7A763o3DIdE0dNZFkQC20PAxWkJBAjTtefGO1KdLUVeH6
bYbtBh33g7g6VrtphYt6hFVMEULmrXwyx1oPzyf9fX053jpYlz/0wVTcCNv9AoGKgShe4ic3b7Qm
k3cHuW76FdZPxQCoCTe2R0uNXaDNCzxxPMK+4ESaE4zgOyBPSYUyexCP0R26CZpoXKbINTzi5mUf
zDKYhw3Cmo5QAfQdSV2n722ntawtp2ZxQWc/oT+oS1ys6rokHQkDJgkvHfMlMbEZUmSi0W0FuT3T
1HbmZaM3/0uSNwAisZ+hpuqdig4mhxWuNeaPOOrqUVwejsZDlOI8iYip5p8NcbjEKrvLdAsCOBJz
NbLhoGhFgDlQ4xS6pGviYLrPIgan+dQY2x7Lkqu1Uc6YlV1h3aM1xEhIsd5iOHUbLuieM4KVxh0W
jHzSaT1Mwph9e3GTKiPnTk860DnAENJnuEVoyFNImi+KNE0WisyorC/zPMW2TnXsaZU3+eEVeJo6
kbDGeEZGzsVYS2x6Jlcy/+vaV7GQpkjOi4NeRsvFS09wfuLgzWotInarRTMLtQXXdt03ZZqxOcJV
RLjclLwTua43tVcH2c+Em+zCWk/EJ6d+Jv533FQd+55qeIU6RtHHJCTqgOkpflh6Z8ZYhBOI3i4+
CSKef3cGDzWzW/e8catWHMmzvDa+VRgNGAk6tosC8324cf5i+hc0bFN3aulvoLv36lh1bX8gy5Ik
sgAu2ouZLdYjEx4gO1eyK4HzcEv8FHYaKZmCTqLwOFi8YfYeYxBrApx8+2KlmKkl0tvBWjK7ZvGV
QfIEs6IszAO+mX6w9+ZOHLhy/Birfvowxd5yHRNJ8IHIoQynTJwx95DWu+XAgaiN/b3CFNvZqY1b
BnTVhC29LIM9mrfpJCLX+NLXtvuayh7fAapKwh+n9mkUI7Q66ipxBTHDvCZ0vTrmgCufHD4uVK4w
JJ69acq02TcQCi9de0rOiY/YKUq95GNRd9EDxifDtO2RVu+y1jWPc+DOZ2nX4YfY8LMvFZx8cnNK
M2mplEsZ3S6lQceam9Fo6UAoIu4QV39nQv53wvM3Ex6NpfwAwPwlPfd/85fPL8XLj9Odbz/yfbgT
OO+ADhnE/MuF+F/DnSB45/iWAKdBMgoKr5HVP3S1ELJNRqYSzBULI/+H+FzbfCeEY0taIwZGAD3/
aMLzdjKrGywY2RZ2SbYA39VY0g/81tSqhdPajnHCbBJhFjs6TsHSaR9/uCe338DG/yGt45Z89K7F
ou0nSAo1LZfBh1gz0qGR80L/fJnFaglwXNBStAt9W1ZhY273ZnBTjINR/KNpynotyRAYszVAMDTN
PL4fvxLPIm3lYIen2arkDa/d8F6zmC+dxYQrA+cs/psLMqH5y9fDVEtTk8GKLds3NYT+w13EFN9t
LKwyT8msQpAKjr3rCm5QhToFxGYbSAAePOpscTD7aLAJF8nT+UhtQoRs40b9FkYZvIt+ohiq9XYu
q4miYJaKVLcpUdeNbOWxCfH9XGlpBVvMtgyn8nJWVnGXZ7lkLqO6D+DK5SU6RQQ6qO/P4dwlZ0zU
8Ri1YSod8bnhLI7aed90bXEnDGf5XVJTPcWwPZ78Onpv9nOyH/0ca5M6N0+LsLP3MGa9YBvDJboT
bV98XeyluoF9ln4QAEIEKoT5wW3icmslxYBdUzmezCqsds3SiGMwEGanmnlErzPVG5yC2iuwrOqs
6gCtDKYtL2YeGSdsGBuy34zx1MzEyDOxlyFqZENUX1p6imtvKaY7mt64R7E8otJBk3cwW4GVfWbI
MdtNsfKxgyBFIhrbZ8i27txex2WdHvzSx6plDFnnW3BB5GumXZSfewXiQu0cfExlJu5lZEqieMxW
vqZBW5M2LBWeNTr6kMS8NOGgpUQDIgns+HMWQ8vZJqWT35j5AKSGJg1zBERcBHWW41MwL/k2CxO1
EyJn7aWEJmycJHVvEtu6j6fERB1OTRU3EjdTy1TPBd77h2oyO/gsuAJuJnJMXlVRxMe4jL/MitTl
yA7cqwgiLtysxY2x9+DmxLSo7xvGsx9x6zLubBxnrs0lDGAWE113gd+naeyyJCUR1yDv2iFBimg/
0zkNY9nu7TnJrs006l/pvrrPmTWTubREC5QUo0vkJbeg3aEu+tJ0+Xa0RnWmT6er9fNXGi8CDTLn
KjQQsIKIfZDU7ixS1MZolckJMopp207kpFTY0W4JMPOACrqr1FCOTZ8RzVvPDNIXN8C1djF8CPw9
Nmscn/uJmK77cMzFtQcvxZ3GkQDcwHdY2rw9kyuG91RBAvL18PtUwDBysVN+n4ly+Yyl7Lzlybqf
6ynLbjDpEbts6br7xiVZqOyC+6aRyb53l09Gr+wzzHGxB1VuzyQ0LPtRotwuS4kPrSUH8uucOwip
HyGOVuKUoDsdHKRkQzx/IVWRsJ1w6Hv8rpg4Eh06B7XQOSDpsMuiInP3+JHMkBHzhmqDPm6eLnJp
kuqwjaPGNDcw5KLlKWtHoGIMbfoW62xcDJod3UCbPjoqDSBAMUaagmF89Ocu3ksLXdvOnWNIjkaY
JZBRQUDoSoKyPEKR83y4WE4UUOtkwr1gnAP4neTGHBzatE0aBwZy51EUjUt0P2Quf9KukyE6ew3J
opuqUOV4G3lGhDSy9po2vpIhQCd4Xzi6z6KOe+oLswwNEtPUJMVT2o+Ge2gm6fqvvqbDbmLinY3L
DAJUrx6yAjeQ5mjJNns23Dp7kAPIjTKh/XIx3z0NZpc/+eSQq21oC/JDx96zL91pqGiHlmHsN64R
y6NLM345irBBOzG5J1EwgoVOPpO5RVAKwAM+OemmBSmjdgu98GGe+/GLJ4h+29BL1gcn00hajnxh
0zsltZUeFVOklZfJBFjXES4MR7whjR0eNdV/4zhUu1jlWwfLayvkykm5B0botmVrEieHDBJdZhjK
3ybFrxpczR6W1gyJdyyNviaKeyzuJtupf3c8RkJ8kCQ6ZMIB7Zllsex6L8rjvZrH6gJDJHmTu4n3
khcNn8/OBwtHOb9gegBuv82Cgs/GdIn/zzW64is+MPmTbcLJzLPUW3bBUlQPURFTAiNP6AkErzK4
gDFWvOs5/t8q8O+qQKmNW/+zMO9/FTyG8ucqcP2RPyg+JpQdvGhthl7Me9ai5A+KDwa2zIj0LBLd
noRO8GcV6FMF8lN/RFQIPsMf7irWO0hBARkZuFsizvtH5ipC/MxncE0ZQM+ztEsLLiuO85Y4VzR+
206ZN9Kx1DTA8FrHrshJmITFbmJVNQSi2KaN3y39MRPIy8yPyCA8a5+BRrSPRER2i9rAWDDFPlep
qkdsycGK6uAh8RDdeyRAE2DIVKym2ywPjj2C7LDNzrh/j6MRb8mbEcVwoXqkaxAZl47pYP2+zGfo
8MOQcJxJZoaQsdPpkqJqMC8w2pjfz04YPqZ2U1+SkfcJzcBwHKvBx7QeWA+pe32dFoxtinTirXBd
Bhmxl/AyJfB5temadigLFCg3gghAlJw+kshxJNL3i8bxUcayH1DyDu8TU1P5RNyxIynwZGaEoJZ4
n0xDfpwGlQc7HEFxjSiixj9L2Q0pE3Qg4cYw8Bv16rk7IsYeekjwRg4q52SnOlTjIV2UDyMchBzU
0EmJMUNCNEB9DonvG2frfvRidB5Vx7w2bltOCmAkwckazQsx4uQ8pG4zfOqUMz+FC0bVW4wVyKJB
hjBlm1C5fFEHe0vxKSQy53p0sYZphUfuAakBe5DYxtq0lroeq8qqd77jj3sgdYY9SUZ2LoI3/0mm
zAUA4mVLdr2DRSNIJ3aNA0ud7Hpt4kgm616sxo629nj0mIwshF13/iZZTSDd1RAyYBBTMeXDoaDG
IvLUaO9IIrKwkRTaUXLU3pLFajM5C205yRSwdreWdqJEjWS+LK7FJuryNmKXnzCSx2j2pdAWzwep
CjwtIWE+WKWKr4jhyj9hDsHw3hzwOKiNqEPAjk/XTij/BvNz2nHtnIlLLahWHec66WA114yinOBa
YrDxvVDyZnJx4Wy0H2evnTlRoGHSWWm/Ti+3IZW7cU8xhM/hBdHU4qLTHp+e64e/8TZg/Fmmlvwc
FgN2oIhJhuwYdY14DFEyXIyq8A8iHzARlWXYPgTO8MXUDqOD9hoNA207yhuQXJDSagOERhPGpJH2
KC283LnMtG+pbiqOcK6Zc7vtYpFyoT1OW85He9difOo6uTo3gbl8zrsi3OFXOD+B2xencDVNNQys
5Ddk89pEZ+KqOldTeWYSiFKuW21XxZCQdqe9WK04rD54EWm/oyERshHo9bGj8JxwFw3z+wx3pm27
ZPVxgBrdVbiiKD90OL6dzLxzyQrZzqs1bFU6AhQOrmp4VSNBYlTX1Tf4lslD65n57xiWzYxF2orp
LcOlAYx0U4bdF6g4Dr6O47hl3OucSDKV28oRL8SkfiS70iUqMZLTTg4wK0gjsLGLzvFqbOK6925H
7NgiLpu58LvVtwbwv6fi35yKtmtrqvN/PhafEhUlb9zbv//Q94PRd9+hSOfvES5MHE1z/RMesd95
eB/7HJmr65j9Azwi3znwZAFa4HhDTDU5z/44GD3s2xF+I4b2ARqE5/0TAqxvabTgT/IUH0qf2L7m
4PIpIIhqAOWH1p5ejJyMObJOQTCXrKehCrYKogkcirm5TkZ7P5Xhb3MZoN4jgz7+YPZ4FcFNr67w
oO7PduXhoqAGXDZ9VvxewbC7jeeovlJemT9WJY43G2CFiybsHkO0mgGS4ubFtGvyNXeKG/wBAnv5
JDRhrC70nGtgkPvK6UB0gh5OOTOUpW8enJMeU9s1KXMbgZz5qfMq4/ds8qcPBIoU0+/SJ/QqReLr
jGe2vb0qMAuNpvTKTLM6OHr4aTyONkYT6SYyeufcYzhj7SitjUcsYmrN0iiHPe9stPEbQs7bgoZi
x0hlOltqIuA9i4PfACMCccVWF3BbKiFO1jRG12nN4d9nHlYnQFHVPgzG0T1YDakiYZt9dqhwr6KR
AtYNFmfnKif7pPB6ZkoZcsb4nsvEyx6f1jk9kIqFrVeLvoFoqfo2lKDLxymE5oDFlvHctXmy69tp
+hCbbaybX3gwuCY2/hME1qEjvxK9yn5RC6fcRGfcHEIZMcYjOqMTN81qemi4TKtUExDVUTuwOElQ
qZ+diFKeqAHrcRq1lFBkFvcCuN56lKuh6sooIOqKKXFea8ZEZ+t+WVXM6VrbZkDhdy1zIrsuGegF
7gA/IYjBqRkENmDzI1ZqWGbqmez6yxz2zoLDI2EWm6Zfx2Fxwc+49pwRD1RCVxZyYTgFey18Sp0A
2NzVVI8Oz1kyJuMIvdI6QAiqDLLEajgPVRZpjUI3M7A0AeSEpbkfBeKR40iajDbxloxOYzD5esrB
3bFzRXejpnZh4qzpFXMBSk+yFGOR1Fn4Qr6+KaJRTnrVZQi1Lo1AzzRHq4H3CE2Yu7sqo3NCOkKs
obDaootVdroLABOcHdGDnjiHQ47/cduFZnTR1YMeblWwD9aheJJpn9vvo1JcxfIjljxMkSuDSJNh
AyeX6zn46zCN8fSXhx/DUAqDG+6gGjWets4LHK+AIzytY2Gt7iQ+EE2ygS33JuyFeRskg4cuq4Jt
4WsiMVwC+2LMqYyZF2n1Rop/7tNIRnewxRcPG05nFANen8pyXsx5Zrz/bRJtqvqZWQocIMifcE9A
f5y7KO2hVNhNXF0kdqLafej1DG4aoc2pIzvXxAnN9qZ38z4SFTkbT4v+lFi19dEpn52k3AJQ8mHd
2mOVGfiDnKXKywxXrZZpZOuNPOesGJrloRs1AafK9SP9RsmB4mC2526WUAfoaq9mVfF7OWtxNjGX
TEANTU/KqnXUSTd69MecHWrl3ziFac2HBO3dV4LnWZGpR/UHIxBP7Q0zkaA4Vv1A7+xbxYTQvM6m
7eRn3bjrpFjAfr3xHsf16XbA3vnZZqUh9qNdDVinZUHOioOhfRf0WzJmg3njCmTPlDLI2vuijKBZ
qdY/e3omtAosGf548c4GX4eEM3eMQBTi8c7pW7IxUwTZA6v4mI5BcViQS2zNIXLv+qRrv6SGbREg
CTH/CSXW9BB4RrH1hWJhCzUqvgw34Nozce6B+JdVNg5mbtnquXAOeCtLkAFuGWHiGvY4jagavjS1
Nkq0yophGzNBpoui1YO6SHOEV/H7rAXDyvfZQXr8srhgMd6MluvsgX9EBOBmj6R2hcS1FcqpL5gN
2ccqD+J4qzgx7vS49D6HtlMiM0a6v/GzWHwAEvUPmFnPvzt+Yf8fe+exXbdyZuFX6ReAF3KYnsQT
SDFJFMkJlq4CMlCIVYWn76+OHK513dftuSdetiyKJwCoP+z97XOK+fNYLrHzDUb8+hJnqOMPWMLL
257k5+9eryQQq0CfRAPflWlfuu0K6xPr0OElZxdAZlNF/HOdQCHSLC03rrJqZi54zGuypg923Oh9
m9nrdxSmFXeArMcLwXsRlVoZaZ/Y2tR701VJ3rRE0LkFHuqc5nWo7hpGsjukasYjryagwAVr1NvA
oJPCofkeBEnu73EvgThTutdn8l3jD7W0npzGctUe55M3MAtZRgdBBk/zx9X38tNiJzcTVsjDunjL
buwrcSfnFsiYNacP7TLwNNHRpiUAZH4iQpYYUkmlPyXjmt3Qxnm3AgOu+ylFAvwi83p4rqX/kAdL
/6RdmkOZjc4T8PHouY1I+YbDMMX3PVr5YxHVgsza3H6lsFQXbHofVyyPn2dQ1zedCrrhJpBtZ/Kp
BITEhWkZN748Iq1FXiXch3E0vWYjcryRdm7TgDEz1ilZfo9j3nXIwCIb7NhAe1Z6g2KRPoGNA9fX
2ox2cvmeCtXUW8efg/Jgo4BrjrpHOgIMzq/3iwdHMGae/NFtq/itcBN75Cj07Pu5pCqH3i5OaBy5
qqVXvmPsFBdZz/OHybXf5RD3dwJwGnHLUolwG1GA3wIaL3eLn7jPGmLcRSMleqyccPqx+Gp41wh5
+i9qYhz+iLUwzS7TsFanDO3MVvTDKyPW9JG9fQqAsCLpMnbITJ0cfNEjJU0UDud59Kz7YZgYiLte
BiYyar7Xk0SRhil+nwbafSyLaXmLizDdMe0KH9iuB3jOZUZab5s3/YYhi/gQMRe9s9PebXc5EQ2P
ftUF9LUzbs6mBmjth+osxqZ9L+bJ3wad+JTOAr+rPbxMHIn7HM76DqnFm+NmpxLswq2lA/9VSgJs
uefQBTvp6OwZgeYXAIDZvQdC4W6OhmM8y2lTRS6iB5voDlIPBPxpmU9wMKH2bN0cVd8uE+5MRrS2
EL9wqdhA1xrs/2Y7/zktQW5noPhRI3c+GqHJxKqTx+uwqedZKDCtA1jkpEjQX2c+o5o25Ag/JL5n
q43rCu8xzvzwAQHK9NwN/sxB32KKhQEwbatVHaxoWu5gTNGCz9mn0O6dSzsQwYsTX0Az08EhIWvh
mVX60m5Kyo+D2zrFTqE0HPfCVtZmnsKgp5nN84dGDd6hIsnloz0My0WPnv3ZGvjBJcy6O55Ay7FQ
IzmcU5M8epO93BBwgyp8guV78Zq1f8qDhnhu3Y5yz+KIAWcuO+c8++X8WBShvRvS8BRPZXzbVZn+
ZI91Gm6CZn7J5/y1BIW/DQInpqAgyu/TIhL2P6OaOHFH7xyCoT0qOwO/l+TxAQUs38M0lDLcNI0N
wjGO5nDAJJ0H3AnNVG0Fvf7BL2ZOR0gz2P2jBuqu9OMXAZACmbUantOyiw54eNNyz3EojzFT9R2p
mxXxdqhD1MB6JzWW9qHM/R2IzPHS+ZqFh53r+aIGn/Br11XegZ9Rd1GjcqRJPG++lf0c/ohrTMdF
FQbrMSfI4KuI0I4lA5ERtSmtGLYRWLbontw9BxIoaJVwX1i92JfEIWzjOYYcKRx3l+p62gKrZxEB
tulSlc3yAb2o8D5xvlV3U1t7OQKtRDUPgG5RMlVB9zQ3Kguf6sTy1m1gJcNmmUrKAoRqLIZcOzsk
6LK4gWxqwSp0qntEFs/ZUqtbotPGPbL1RG3LMSb9mTLgzkXZw5NXe9lr1CxtB2+xpMbyk7dsdrqn
legFrMhZDiJw1rfBGAQf+jbvB/LWems3d8F89rp6uiin1zcg0dWDE0zjx1w25x6wvIhXtesTtyeH
rhsZ9Uc2o4d+AKUcpOjH4xcKNXmIRsjp0eA/louGohssKE8PpWqymujtVTqHIllXtg7+IEryXlqC
3Bs3XJ9mzxa/qapB0MEjr0Y/2TYIoVq0Ky1whdtqHqzmq17U+GAler23cngh+0wUwfxbPImPYtZt
FW2GYiYWBl89DzeA6SFsBC966pz6s/BqlV/auo/SW6+1vzBeE3cqoJArYq6FUyUJkAeBogn5BAcb
PSUurpnPRcN/G+RmqNr0oRMjeHYgGagst9AZPiP17ra+N8RZ9JC5on/g9GMkxQkqj7/r5P/FSt80
vr9vjBP0CZhPUb2auN+fLpTfNcYVxVIamuiBQJvWKYBbAsEF3Gd2+vNfZLQBf/hFeKo5EfzYc3+N
SY4HivkeFdbxqqqlT0XcOrU9tdqVcTEWxs6cdYp6dOWB+/af/nZje4P+hS+JIOVfvZnwqpyIcFvA
yKVwP4YSTB2BKJpSwpA2lMVvDSf2ztufgsQ//+XOP3vv0DLYJNS5NvZuHJrJH967LMlw6dKhO46O
oD8g8AehdQQh62NbMvrd+U7Im79q2f9q8x7amR4ASnZ9zHwckH/+gv7Zo2VejxfESE4AeiBp8X/9
LrJEztrNjERtGFCnGWgJvFL3I6xqRNqDU9z8+e8L/qCssH2MjgGCl8iGQ/Wr0bHO0XoF9tgd22bA
eZDTCY2cxl8q1mAEW3Tz17y2ff9DtsSzdxqG0Ev1FnxO3tyVQYkD3+Jpvg/7FgcAclRUg1aIrXZw
kTQvhhy3VB1Xkg8Mnlq9CWG+ZLaXMMVho/HsAgIa9r3COVCQKvQ2CXTOXbDI6XmErj8e1gm6/Lht
DRfgfaWJBKgRK7r5LEXbXXiZkblyTHxsoB+8sQAev/GcaH9A8mqfvSSjjZuu9KmrvdmGgaJIGgWZ
YQ5Mm67asdJHJNfzeECmgcr1Ci/Q/MXh3u8E2BXMFASjjE7cvV0HIFeF3PVL+O9489+MN3GbuH+q
/Xr43rajrpcvv4w4//qDfxtx+oTG8/DCiYeey8w4/zHitP8S4K93uLNdEtppQv+++/Pdv/BHYYzR
n8UcwMzfjTgBeTqBG6IYw+jP8tj/T0acP+kbv3/AopvwTZds4xZ0nD/4BevGww8ibA0zsK30jrO5
YI1QS7QRJuFjn7glZXrTFENzkFPYJ3S2w3CC6+XYB2L+2PVxE1oJ/rapDnY5D1GotxUZTUPyFVl0
ei/DUF8a7dg7iiukzStgK2fDmTii4NBUSWHtio3lcePuo1UzaGQz47h7Sqj1BkV29zKMejhrkCwf
HB7U+8ha10+pa3lMfIAG7IfEBlKN5a9/zioIPEe7T8C5OYT2fCEbCjR3BfOQlOHQIwLFFkkFPEWx
Dslb+ri1+G45TvZV4rW/I/oseg10V867BBgOjpaanb4Tgb/d8IymWZmDzN13lgwegC3Wl8VLyvui
y6e7hS3DjZOWDOzs1K+R0y5qjzWBeoMJ2GLWKNlWKfZ8HBsMCEnMQqQqUOYsdeB9igc+ZnKPQRmx
mbLPLZOpfYvE7egCe967CZ+8X/jOWa5J8zBZXniYUEU9QmTvHso5Hgh/i4EbLnbVntG0C1BRa7qt
ZM6WCYDItB3i5q6NnMze6yiUOTWEgOLdUlWAUJtu585/HUmCeXZIBI5v4oHUHgjtZUaZNsfVjUlq
eFF15R7gJ8ZECqBW3i5rmt6RHE4kumdX26Zr17sgIEUjCsED7cMr08bQbQjTbPc+wJtoeWgM/wbZ
S3/jg8TxZ4KAt2MHJ8fhWffmGHbO0HjqHhVMsE2A6xBCNW2DK28nZ73kGQYPzMoUJFbZPgY2hB70
QJ/hAoY7oqqrnWbPc2gN0UfPsH1QVDVHCe7H7hz6oKosn9IZFhB4i2iXKvhAWdjdVKUX7xufFRON
Y7djm9owvDd4oTJJg8NskEOJlF+dNLEO3ZVKlE8AirjI2bkZaBErOKDzdcIkiKHIrvJcfxe2wWPH
1baF2HshKTzfNHEf7kAUvq4NAp7VIJJyJKKbwGCTpAEoZTMoJWd2ijM7S+vVjyIykAxyKaCoZusN
himKx35X4mLZD44ie+iKa1p6rpsrw0mF9JaCALXNDNJuV15pT4JkSSLWELwTTmAw8QUU55vQb9hw
fIoJGikOY+JIAFKBs/pISMqfcCn5EzUF3j6en123CuRzwLIOIFXQV7nzguMiK5nQlMUlHOzocYoZ
UHxW/gqoiWCyGql6YlCTNURyfv9SfEgIA/2MqhmVTw3CcdkOqZebnXRnBa8q8dryJDuTiFp3K8tI
hcPaxxXa0V0+k7Dly+eJvHjWr1lmQTGkB13Kt6pi5tDu1qVqWannwYiCWwDr3y2jq3iyzUWWvTVO
kdXbMncKvh+ra0AuyU7be6VXJ8vxaivDz5IamVVdtnGMCdcjh+yop9h/M+LG6WtUJU4Fqh3nIETX
esZ7XEwtyFIWldVE7mQbptUJs0ZgtYwCoDl+bKs51ESiUeBu3WlwU24sR+3/e1L/v8DZth8DBvm/
F5F3XwZdf2m//V6mDTHJ/NDfTmkU19xFNkxqn60iOpy/n9KAsyl88eOwAGRK41Kj/k2mzUmMmBmE
gNlhGgH1P/aQ0V8QJHqc+jAGIptsuP/kkP5j3W2bUgC9j42Wgbbrn7eQLaDQAWf2eowyJ1gRHfrt
baYYiMBdXrZZFgTb3308/6/uzmbtGdsBXTNh2L8W+lOdoOFbQ32ExTo82taybEOyZv5NeU8N80tr
R2vDehBBFP2E6/6CfJiC0V76IFfcW2wapKv6x6rjWVBEPqNVSyJ9HAcsNn1pPY3geD79+ZtEJ/WH
F+DAI8MnSMIO33FC/fX77e48a7Y9AE6OXR3SLCiZrwfqCfu4+EAjlZsPGHSVcZfhAHM2IvVSBjui
sKBj0Co9d9QxGD7SWN+NZPLyNGL0yuJJVgemx/zdutMs57zaYgukBBkhmyAddbAlC1n/6Amrf4I7
We1WFTPwgY25TVG+nhsGbK9pwdgjXRoemyJzkIJ0vdf3G+YcK+UNrR3KD/FhkBV7N4VjevLm9Czh
0X6hQ0ZfjBZK/8iZcRyWtl5e6rnVN2Op2tvUYVgwpAUDSR6xLasmu3vPC1YyVAb8oFSYU8deufhf
w/QpWaJm4gkq8J4ZFgzNDUgah0aHsvLGzRbeph2NLpUb5iPSL+NdpMgXCfq1ve18dlObOnPrjYiK
4bGrF6z8SySnLeKgmG1Vvt6tbDqOqd0YJkMxnKvZ7R/HZkrPK3jhGyw/9amfVl6ONy0vpd0sL8R1
hs98O+4eyaW7b11sgDO5Fl91J7kfIodrSLb6Uz6l3dsMnIPdnWjtYygT7iE5pGdvanHgOlZx7Ptc
/5CzYLo48CPaHsbPlC4Yz4nLPvXZhN+0XsfPJcDMW9VhzWqamE8EkyuOCVy7OBjCeSVdqmYhMArM
V7JdqBAJQXkSYZ5wAmbhtnS74SuJd8xuK+wLWyxqa3a0FMq21p/7rwo916fYmrAFFHN96mK+XB1h
MFMz2Osdq72hRZhFHJMY43gzrQGZNr6F385JqyeWGjjn4rz/wLCGXXmSLd8rci/Qrk3VocFbzUPD
6d4JOFleUnZGd0m/8E95ub6BUx9vHMU7TnDcfkgrc7NbfXBPbsQCxoP3Evol5t8EnSvjMy7FBR3A
d6cq9I0uXP8+8/km0iWJwTwD8kZ75OMQZwL2A32dgB6KXkLJtCx3E2vYdtflafoUMqL/GiT2etfK
XH9yMXTesD2rEOH11cGq2glVFTv4wuegzrN6PdAM18je+B7L2XzU5hKt0d99xwRRHdaK0QRrfr4J
Hxfwje9w/SO4E291FqXnGgGypLo85/Qx91n8w54TG2qQ1YQ54ubGPeVj8G67un9103R+yVyuzY0L
kIvVaRfvfL9+99No+T757BgYBHBRKndBpMQXFUbWdEh7X9yTJuRDmJTB/axTTIkFK8kZFeW7NaFX
h4iAwcxNu3evCfSlhITxrGJk4xgMYmKTWtl9yeJoRKBImBvLeRqV65sjJ7Q+Mea0npQW7bRTRbne
yViPn8VoVU8afQHpN1Antg5ZxWeF6X0bSrs4Th37N6DmqrgJMJJ8FTWae65ayN2khMf9q1NA/QFW
zfKSdrj/MIVuFrufgciYEme51jvFMPtvhcMqNDsSvtX6R+zgVrsHqSbnO91LuJVsR2b/yavw3ENh
0J+cWE/bLqTD2lBvDjsSF8ID12FgbyYEqgS3EBp1WOb2w9wl5I9whZ3BCTxM9mg9dnb9ZAXzB78R
zSHOo+BxHQKenZHyyFnJYKemTHII9LUjbqIMDf+pcatPY+A7+7lO5/3s69+KuJlZrc7fWJOS9tZm
X/Xs56d8DYF3OLO47ZpFEqWN225Ms+kbbr1+nxXjRU19eqihBZzVWiU7h/RVoj2DjM1Nhp0GSvWd
lYgFm8GansMyPluV6BHZ9y204STtT4z0TOOk/G1vkyPcFNXSAXavf2SwrGO8qG10M48+cB6/fdJt
VOzR6yWXEjLMHSZ4eQhzbti+bJxLoVPC62g0T8zY2CA5i32yQY8c8YuQ0jLRsHTScrfCi7ktW6e8
yUG7bF2rsS8yKJLjnDnPeGkTUpOiEbo2CPC9y2f/dRRShtugT4guZhNDultGRuvRFUV0CB353jJ4
vJ1HtyZ32p5PmUwAvtcJ3JQgDXuyR8evXifnG/zLnHkc4PFhyTnmcldNrCPC/slDQrNxpmo8IPHM
WWBW7JOTWL3HARGG0qvUpUX9CUS3qt4SJp3RNqRtuUmKpZCIdLBFJkGcoyT2PWY5Xv9IdRYf2HcC
ehA8X+2d5iGCo7IS7gg0KO3u/Hpkkbmm675zbffkKjHuvDznrhpJi6/6TdtxBerJCc6IatSnle3n
dmA9ggW1Pcp6BzuiOztDuH7B/xScXN2sH0UpumzrjMlRrUFyauZUPxSVR19BE3km28vfhuQhcLlX
tAMyq/aj7/mP0ehXFAfamcECy4a5Q4w1fGn2GFrXDaB+vcPnXL5GYYZaxdby4Ke4pudksQ59jqZi
zvB2ORZneWHLU1F4ytv4y7LLrAzlQpw5NzXzgH3odfkpXlS6Twj4ueuSzmdBw+K8MRt0p1/1WV/X
6rSNrNjhyDbfIT58yM3+Pbmu4ul5WcvXZkPf+Hlllr/OSeSNQZDk4XCpzVZ/vi74o+uyH6freEGV
gASAJaH9XZBcWe/8iMTdnYGJnFZsNlvRWMMNS4GA2edcFDtSE8pbf8rGr41XhuRWjj5sKbK2nCx4
S4iGOcq8GosNOY0jORIKRZTZjf3WAcPYTrU0dYHoH5Wa6l3Ys1Pax9hJLhYbUqTOOiojLr8mPw3e
Mtwm/cgKFdESMxvZBcVREXc9bksM6PfwwYsjajbxmytia9wOQhNVZZFOfC2RwDJzDtXOeiyDsb2F
X4SJrxXTN/IrSeLKpIuuBioVB47gKfyjxeS7E9pKnyA4mXugokyIUluwqA4IgIjyAotILoL7tSis
J6sTsH6WwssPgMTQ1mYw/rYNRV6+YzvN3kkAf9znRhsBhAHq0UxV+LP46gu87kzNQMuQRhqD8Mp5
f05jML5Ka3dPGRo+q4oYX1BYeI337uJDM87d+uRFYXuLxn09+vYIyhuEiFmIov3BKd+nOzpmDneI
JNZTmyXzS8Ee/j5rqDTaIBQfsvX6KpL+1bMMXzfte/NQXhv9gw1tvCkS4FMntnfOA4/B9htKxG7Z
WVm4cGoDxwpZoJt0Yl6OHoW+yR2LRW5h8905IBPard0M+oYpvL7QzfP+2SLusoyzvKPYehNj1iCp
N+VvEnZv0aTqkzvyFkg6wTfeKP0j1tjW1ZoSTlgWBAMUckRHAD/b3cB8qE8VQ7THf9NE/IslTeS5
MU0jzYwXRvYv5tZgtjxBGh3UDNBjW1I7GUWSfqEPnVZcFUUrdwlLvx8LGRvHIvayAyPNL3EpPhNZ
Trwh6+y9FchsN4umu1sG139bDBOhWElKg6novbt+las7kYl2uQx5Hp9Stq8720cGXyg+SAI2yiOJ
C8G97SARGVRDnVATwMHBvR5a5ekLkeJyN/Sz3HXmm3XhSD/BJwufrSDSP5o4s4ONC2jb2sB/oJT0
Q+oN2dWneebCQfpNrUSTQj2YVfyllZSnFnl+wx1wrZFUu/aPLDPNd5mYcqmikEqaANejXYTPvleJ
vatSwaTGgXU095z9ZuyDlW55yVaLyQuWzfp98BCJnuGWRMttn8qMD6kg0sWCAaH2QVblNtoZpJfW
0fOYQg7bANvB6O94Q6SFdvADMYEhnj1F4Vpnp4qjhDme+YOUQird2WPsEEdeEIm+bHC/uZfE9sdv
AJyRP/iSWmqwczwnaWoEgnBZ0eFw8aP8UZRQkXKwUWqKK9oY+0jXw6Ud++NnLJTMdVon2I6B1Q1s
1sV6dzWGxbkvftPlDBS+AC8xL5xqNu47BPgThVzehvPLVNTvEcrg7aoASGAU9JD+6mKhmOezSyoJ
WA2+6rLlZreehtKFJ8EN+1h5KDbTKifaMg6m+jQFcfcFlkz3xdcOZ7Jbu+6mxQx28BBwPtABEAjV
49yYJc1WWLfj57ahhlSKeBUbhN77ZGrqNk+MQWUCE+ivNaG1upbg2deM1J2RRISyjbwNZ1b02HjD
/ILUBQdl63ZfghF2D3s8fREOXctuaFfuPMi642e3pJHv+1p8mKICw0Pqq+7LlLbxzosnKtLU96do
2wUr9wij9hYPm8P/Scxk/5WYPpO+QzbnSFW+CQp/PbY5z6Je9ExDXMmtrhLz6MqBLR0CHZnhutu/
MsSLbx04Se+jgIOUOWIgrSBqb8OMD27gwXWD9ivYdnG7vKAEp62SuriJTecND1R8aCr6cpIp6cxk
u/5gpJut+yJe4WWE5DiqSPwGF5c2xw6ye6cF/t7IPESSxT/aWqZgMa9aAUnDv1rARkRhYL4DVHMn
x9yqik6Wg6SCVkST+h70xGGoAVXHhvBQd48il47UNA2FsmmccuX3jzaxS3LblRwB12egaDNW7/TY
+lIR7pabYoN+2mPFwECLd1dH+rJmuKXUwlTjehm6itaXy7u3j2q29J2f0Wl6o+4fr51263H5NNjA
YdHRsfYN3UeNDOhY+xxkNXy/2zlFk31ty6zM4mPwezoKBj189GaAshaxPlSCRlzm+Y8hXvXdyu3W
bhVxkIQNoCrcxhlTAxub7lMvfMJaKTwS6kOOwrkDiNXPCCzzduIrzkisOKmVd2Sza6N5XrkFuwR6
GyIEhsRZZQdbMRteUskl2DIwkfuWwFYyGJrg3kVQ88xBY5PRHS7jZ2LLmMSsftW/rp7PgCKYZP+V
FY27H+1Jf2otbvPUHSDLmKbWw0QDPbBz0/O1Q0babG/iMTIQpxV/G4IRmmwiocTec/j11745wvN9
pxBx0NQiTEed/B1IoilTCMWRKHc4pPrRrg4/L82CkZHwacnbzkmfbKdubwXpMbsei8JtPI39a+cw
uyBCllnGbMY4Emzf/eJT4W4zG43tYMH6g8/XvasMaODACuxWRjxnO0kGLNPwfvhqtx5fSFXNzh75
AC10SFmEyCe5NddzP5jH8Jh24wVRHpMgoP3UGtXAjydTry/ATZ2PuZk2yr40pwCF8TuAoobnxDx+
m/u0+4LCL7uPyAQ9OIO5fqArHikxGQKFvJ3UTB2uZUUMcAkbcls9AYGge/c5Jll5wt4zZ4MzMXoz
fop7RK6m32d4tViBfx9lVsBRIUHY9AmfcI/N+SPq14U1kc/coqMCQa6/EL8GyEuExK0XM19kwmDu
pGu7vV29GR+hS/GAEr3b59RLb+MoQSYMK7CoRrJ4dP1sedGS8kRUzEXsrnbJUgPOkPIce/2ZchXW
6Zm+MdxeRzFsgPxTTKj1Gc6C3JWKQcbI00SAMBirA0t9rpBOQdeYKDKvUnsczUyfEPi2W20v3Xvt
WgwGJbM6D2Xs0cc6cPJCXIkuQ709hz0Xz/UxqyI+DTp2fRk6P/tMN6VBM7qNqeNGRfc/gLcaaJY/
IR9bj4TH0iqikefDtHm8gbYcIRN5nFrhIqitPa41y06flGRO4daqKU6g9vqzRLf6JTKPSgi6bGMr
r7pfYxelORABpg2g4Lw+4XzAp8VUcB2YCrZTpO+uZgCvj+bvCEfVDZCqeoOumBu3AF0KmK0Tv40N
5DN0emt9ghBG8Yi7+d6N2vdlCfjUVnI1Tm6cc6ssFZ/BVLPUaxfZv1KVlAShKM0iDVlQQt0C7PGD
tGwesrKnnOi6FJ6mXohVnfnCdVytsAEYZV7/5/XG1E3JEWOBNv8aSM5UwaFyatdJPSgirw4NUWM3
ney4oQu/P2eRsXIgK8vufRGtrOyCYr0T0NJfPaKwD2qsfsz+2oX7fKRxuA7oolG8+y4dgTT2cK1Q
fO+Ei3+WBo53LE8RENrjzE5pHbJ8t5oJ+EQju59B1YLJ7eb4PKVIsf+8XMUZ/OvM3QkjF+RUhF46
gsjyy8gb0FYjyn46+gXD4W24zsF9BOh2n6HXPmufR1ueUHxPIPkeoqwj0X4MvONKcZClLb0LMcTn
0Vv0pZWif51nElLI9FGfeCSsh3/zYn91XyU2egTHc70QLT7o3F9eLNGeVbSgCzhaCJeJlmnDZy3o
xWynzO+tmcaEaQWFqLPQFFUTbESbUcYZXF/3pRSMVq9f9p+/qOtW4vd6CSOCily0aLwopBO/7kay
mSsZ8+N4BJzac6ElYAHHeO5vARYu2EDmfEf3vu5BdDGbgL3dv5bCOClYz2+0v1RPJZvvs1eHPA0A
Sn4TRR09xjhx9zxlKQytoes3/YQR9M9f+b/oVJzw57ePywDj+C/rjsFNqo596XTMLLc/pwlzGyb3
VI89eNXH2gxfVw/dxMIz8R3FBchz2dIXzlPw193Lf0VF/05UhCueLdT/var8QDxX/j/bL0NXF/9M
FOAuMD/6j4UlgrgQ4SUbRnyORpn4V6QAzCmPoB32mHAFkAf93jmJPRKCGqAYZI0/7ZF/d056f+Gv
Ai2FmwTJKAGc9B9Eh0T2H6R7VLkeCCZUVDHJDJG5t38nEI0q1TeEhZSc/kah6ST0Kbt1zMyBtgwJ
rOKFlRJzrygPT6mrOT+JkEtiHknj3G5dGcK281bVEHEfdFl/tOoOAA1sS6huqKmB66KeoJg2vj9h
DHZdANJj8mcHf5rLwKDm+D/9jCqQJaZ7NjQga8CFsOmgo32DxCreBLCcYb+g4iZbsqU4d3LX//Iz
2TQhrHHbEZMekgrvxuLGpbYdKJ2MLBDEFKu9qoQz7PYEBM6ewy+Wwqaw5kmknq62u6Zw1M+OzQA7
gSoKFQ0Ip9uqO3fB0MXnMEE7OcaIBGszYN84OaBfpzWiWoG380HXyhi6ZsMTFImJ2nTdbDjajud8
tH2HcDYDTOw6az56S+4x0cRh1XqGBuzZ3YjDZIQh6IIxZwWHc60MDQ6YxALEhwCpyZYTyTp+o27m
E7jGrhSGROylvWn5vYG/hpDUhBmCHteZCTmbM15A4Bh4gjTAafDc1G2pQa7PeLIwSyaKd+1X/M64
QvlIGibvPbkmzM3S9nA+FM2lzSMSxhgK38ZLCvBSFuquTIvl5HVJdWpN0B9cBPN5hsqAExvmGuGO
65o/+fmFojYmYi4z4FR3Nt/wNWOOr3QcX6EbQy2Q1xQSVblQgHEPVMUjmbi8hU6X/CsCcQ2j17HG
IhjUM5+LLM2qNqc9oUnRPhVZZEUZFIepCZajqJrc/ox4y/cOIJesDknu+iNPDbDdXtrkhU75aVrH
4KBpUH08q8S4ru5YPjLDTnyGCMAlyUJBv0uk2ds1PbILoFMcKgWI+IDwiX9pTY3ziOOC15aDQnyZ
YC1BppX8b9wbXA3uwC4IAMXE1uYaKhn7DsrgGhUXLINs5OKzXMOBX4yEJpJMLvFZg5K3J/DHuey5
CaNE8QV3RFZjQb1a/6oSHue5hYZFNHdSY1AlnJfrzeG2vO0EUsRjVKbeyaJRwo3H5FwditWgMBpD
u/VAWkJ2lg1XTOrQDyh0Vdm+XY2XcDHXCdm3bMNMDGDsTbAhAzS1sYPb5yeAlgEQnHsDhNULSA7h
MwxBlZ++XC/ha+qerjAtduZmv+Ky03BRT9IzGHDpZvpBZdwKzep2zLtKwy8OcUH/ZDJPDAC9rahj
E6lrooh/ZoRdbwm2iQVrV1QI7MRwFUNUQr3rFP3blQHaB4LBLP4R56Mvu/TFYr5tbQSWmg5OMkPJ
GtJB/ZPYv7oY5+o8kMvmSlmOoBacCuAqrCavkbcMErnALAPoB/TI53MN9F1cZkPaXnmCsDzyTlcE
KOO35HbtTYM7XeH+KH4RFNdWTCDBHI2591D2CwZUC3kkz9NsTXZ2LaJjGAz24Wd4Za+sHVlx1mCY
QFw/nhowRawjJEwj7OQOcwf65A3Bh+qpcekVn/SoxN3Vp1poyhZPcy9XhkZKEAC2aWYB/DtXF21V
wU8taYw/2iajY4IFyieIivlJcKEXqDir/q1iRXMEW5XdpBNS8Wsae1gZn2+cE4v6PII69JlCMNTy
UM7dQu3iirISly+Klsj5mNpEPpyzLiI60cOEkZ+blPL8mrkx+y4W5EXC660NtHksXB7NTqq5phAo
cIHrkNJ6O4wQuW2ZcIerFqdyP2s620BLQFAoDWnhWTlUB2dEEn4dN8lkwQx7VVMXxt7dEOoOaQXN
Y7pfEjP9jhzEHZDdBv55N0vHb5hGYabmAVe3MUPDTkhehgLM9sUXkJJnjAT94XrN+67PD9kT73kL
1pT/nKMQML3hz+NnMrxg2zz2FuzT0yMSGWzI8D55vg0jOTR17pnrMTFWY9FDIcewwxf585FWjlD4
diKijWVRFw/zCZpdb216AIPDXjiW8+CH3F1sTJJyO0s+Xowo8E74s2aJ/ReJ75KNcR8M+eH6ZO06
NOY3kmXxi1N4bfsis0xXnwMWeAWyQ/OUchbmHL7xiyeGfE8L3zw6+ewy4mm/tblKToMQ5jDoaSSh
oZshxhWCL1cDVK+pH8gp7WLB2C/PW4dOUOf6yOPHY1DpZDMlBB4PZiN0+GtyaQj7ZTkfIdHgIymS
+nEt6+8QQuoIuPpkZS8cpcOR2VHDV9TaRoZvErQ77slhl/OIIS1ZukG59foh/Na1zQvk7OEM22UG
EaxjCYch9IaPtAGnLjEH0WhwDXhexYUzJn5w2shOuXcBOww9MuSeDIQP4Dq7yzjX2XYxKIgi6qFC
AHh47+mvIBn2t6NBRwxMOgmQ4h7YzD+tOdP/sndm23EbWRb9ItTCPLwikSOTQ5ISB71gUaSMeQog
EAC+vjcou0pSV9vtdz9Y1lo2bSqZGbhx7jn7kNLpU9kCu4VjE9/pa4wHhtBT3VGPu4Z8NNcL7hCI
wpz8T/yRBJrpi9V4TjSVG6MmNhWnas4nHKAoYzzAn6jV2wr1wAR45AHYpVSks/MNulJ1MIwOrSez
W3+jgUbbFbU5BqHHRkGXFBE5eVoAmPMU+0izpvJ5N7tgGQ8Bb0uxSXqJ19H00uBqsOzl1p8G74Qy
zGMOgwmRPw0LN0LKZzwYzbWmu/VtthT+yTNj3r0GMqmb+s02YQcCDqKdKGQvPHklplG/prdet8Je
c6bX0m5y1M/qs517XXkGRGBfsJuuaMJekbJfRAAs0Rp/46oSfE39AYFY4SVYVrWic7wsAqFDwE/L
gwNGszGap6HaVn47pSiVeRFKq8+vfZHSgsLr5b7nUPR2i1Qxz/FMxwugPgfchXdF5om9F6sv8DnW
pJP3Nekm4I3OTON02Zk7qyD/bA6OuPQkghl/anfrTNX0lkuEo9zDy6v6/trP0uVSLfi/Gk9W7Ic0
ex/jrzq3QWZvk67/1AWSHblwmYy2fdU118MSc0QVQK/RKdptwtxwkhD5T3jwtQPEqf5YBNI+N9ai
b3jRahItHaYSsCXh1HU+u+aloJAYSz7vkOIOL13kMXVqS2Hc8hCYGfnGGn1Kc4+lsOZL0lgbq7bq
g6n1Yu+vTwhrbkcwTYE8OAU/MIpmtJc+nnAftyK4XvI1VV+Z0VDX+n0Bs/DckD78bKKknOeqLTuA
eh5fR8TO/TqMWAuj2DSXEwXe3Z5Eb8P1uMFAXclqzHh/05ltCkpPPWVpN7rbsfEBnxsV8D6l56zt
rEV1VGTSXrWigna4dv8aHuv3UYiefCtvG7LD7AVnKGJ7nf0IxKCCJHqZJdHilDyIknQ4jrXz3qaJ
DbcKPpTR6qsgXRvHORfWayx0LB0oodOz3eDlwnfMJJjpNX0gerEdOtv9BE/euOHkF9U2a8A7aZnp
HfR+svYVtTNRb84zP7TSUOdUah7uQUvCi+YgoZyziwZHvx9VURrbxCnFzCzeLVN+n8UG7QFGXtnl
wVugfb1z+Cc7MsnQUX0AXdAYaxRfdvcC2rwV7wc31TiYROYe/EKqR421NDqDG5su0qeRRqIduIGk
3ZaQdXOd9XwuMmtQj63rl0c8nsipgu33sgzLVqZrI3nuZWDYS/2zSiaft7hVNbZ2ypx18OMgrbLg
DdUjOSdddUMqvX+C0CivQIpfuwWBch5e8UMFS+M5UL0rQsndZTgVHYVJT73bSh0quBsMJ60zFlMe
OLWCnRVYslPEQTQmp4SLW3wbD4Fiml0pJRNMdf8lZrtICwxwKip2NDXrdMY7hlisvQevY3E2Zmlr
epj0mq6STeLo0nrx04qnrilB1W/8j+Wrh1upuup0BPJd0TByRbpTwfJg8Qq035HMoKlImddq1TOI
uJhPJE3SrHhPurHgnF9LYzSPFVnVKcbyQGM+++HGf/ddS/oRl2z9L93L4D6PG8NF/cJG/2ulqzfq
rahElx5aN+GBmSBFlhLVWwlv4pC2+voBYplvHynk4Q8wWU1fnNgFjPfSHgOKhcYVOKzPDO/2x2Pa
GJiqP7Jwib0wTSBfMQLEazejWK+edaDTnqDRA8aT0hMTri50ivfvM3JWqeleAlLhNZlbai1AWa64
B4j662PllZoA2jWIFxd4g7yWgezPX44PXeonxc1wqOp1iNdAKfEM7xfdagwSWvg0vzzU+GHJB8+T
7BH4i5Wd7wROt4FCWG/dqe9ewerN993ApbtLuZRm5ELvq7r7q+/ov/2AQHODhbIxefM8+Vnc0JxO
WyQPQGKhGvPPR50eFrzgsUer6Om7We9x5Lz7d5tk57EdGZQx90F3MXCq4x6mEZPLBIuXP3+p/pe6
a9hokpiZwXl7CDC/eBEk2JisHbKcriTiMTg8Gmt6WtbtzLNNcxrpdjqtRNTUTlm4oVrXU3/+DfyX
nxXKqGGzT0Fi5Lv4xarO+tNoFnNIDg6VYmtrFxurSAZGbK7hnjThmhK3e9g3KYSINl7qbev28U1S
D8YnGkXojWmAe/zFB+q/vCxry4Gjc+HD5/brG6jGGk38y04O36s6sUMm2ylruM18lCUMmcnMLKuF
sVobk7/KEP/SwEhslteDzev6F5c3w/7F516zwZU1RqeDM9NFdciNbm6ZVTq/yvmBpLPDKs1SvvWp
8GLtaJS8LSBLk/cfKbo3b213Hosl1IshSQ/Dqr20XVLnv320Pal6NdX8+Q/RJAfR/vyBW3cENiYI
Yr5u8FEx+IN2hzGHjPPoaXsrZdMRms1SU5wt16vOR0ENB39wnk1/1B5qc0E8maqUc2DO5PIwBS7H
U2JRB7dxFta80Lf4LacTv8J6mpPthzxkmWsvtRIrW1IqmWSHJkEBw/xPe802GSn8WuaK/7tjgi+I
3AImMthAqyLlgbz6jxL9F0q0AaSGz8n/rUQf0QHrJut/DM38/kW/a9C+RzKG/AaJsYDwmrvWB/yu
QQfGvxwK0dkyUJ1qOuRm/p2aIdrqsKaHpccugm9i7bv+D72PTl2PGuYA1fgDhvs3NGgU71/ex6w4
eGjA7QvwI1E/sL7Pf3gfZ25m56XRp6cJPj+iYdvAy2YUuGo7T+vDeQJgajOVPbRMJxhmYgfapT76
zhQl/dB0B4GxLuZmWroYcDwbDMfYLLAxdX26SFzu9p4WrVm7cJcWT6TM8USMLbFvOD4lZZej2Y9n
kGdUT5YxowX3PXJsYdxI9xzkrtdwYRHLcTEW0CQ1hUTbpfQstGWQ3ylspYYVc09JS2j7WvcVDKv3
BiFkjAYEu22y6AgXaVsO/YaSEKybRqJsE7fiQF6A1OS1IgwQVqO87xFSIGEYZC/IM+swrFwje2jz
fL5MqT7ciMSs7qscw+WW7AY43tyfMC7XDv2GoZu396XTjnv+893WWJr5kCg3OJmtyK6M1N9PmSk0
KHhZs3PwSm3MPmUkHxR0vGhyYh46g2c+gUgxw4xmuAfDnNwtTtQvCYvrW1o8g6heLOtOslw/jg2B
4NQw0TuXnp4T19tqM+T4Cf3gzvK08saq1b2jE7unRQHvBoJ6+sa02+5tj7sLzP7iyljNqBmBkPtR
WB4ve5ol16To7RuV1hbfm1zkWVfbzmyam5hZ67d8dIPdWNjzrncyf5MIr78noP3mxBQZGJAbiUSk
pG96fsFO8RTY2lrRVAE3Kp0T0DMAYrDmH3LRW/fWFExXFhrMXdbr3aUt0q94ttJXp3FVtCTTFc7i
OXJWlLprxjb3vVa7jM1UPZSigItclP0NxQvpZuAV2cRBcRFlPtxoU8Ekyif2c4HHMbQJNd7MWY/a
MzmkYxy+Uw3WYqSPcfJp8T2CKaXfwRzMwVDxn81ziLlta1xZKTHRWZfvJf/+LUyJEn26Ri+epzi4
9zKnvTBiIAqKOI9JHy3Lja1ZRHbaUdsX+tTsF03W97rJO9pz5XA2CxsgVGmGrbDsHdvY/rqZrOVl
xNSWcV0fUoSy1Ihau+A6aFmjHXWYnvaSPqed1skrl2T1SU/d63HsOy+kf4B2JvLDGz+fsPoRYII2
yXswmnRsXpLKAdZEw6OmlbCIl3s/m/Vd7F0x/E48V+vnWcn8LrXErQZdHgM/MOjSvgc3WW5rv8X7
7nnHKm8eZ4t8Qmn2XypPlNzzzWHeVJl55dgK3/v6k5rfNQaWkNhwGy5Sf7IlkJtxDuJDq0aNDEYQ
bOFHJWvC9oXDsL812wruRC/A8xSJc5yRLR5tV1ObKadMoeJqifxr8rHSTl6cOrQLmy8j7WRb6VVi
T+ujecz70zJk56FC5cKQhYaU3UAIXmXXINQE6ZpqyqutouJrVyhS2DbAtXs/tspL6zvJccx5mSlO
s47s1KdLNZXLvh4KFKG2FXsuAO61LUbKQyx1FDC0i0gZvbooe3iUxqwdtG52bpTNKooPWNPbSn+o
6Tgtg6gzhJnfzbGyKoBlzg2Xvq9UwFJ14C4BJO4Z0j7LLapNs/hutvzsFn/ya2239tHpIHQtmfHq
tqMDIkvow5eea85er9KWW2ppXq0DwA5HHm9pnZDuyC2Y7ri0vJs5dtmFcN6VjaBXFgfMl0VSPzvG
nM90MAznbJ7mL1wNcIsSf+seOjE91MgHIa6z6pZiWzsIx6CU7V0Ce/hotSpl9QUTgYyxsxq/l7w5
tgXFsVSJ4y9v2jq4H3LvNzLKapPgmNuhgXINc3w2A6HmkuRo3bpq4g3LLEnpdwOIje7izNUwS+Ju
8ikm381pN/ERr1tVTridQYAY9mEe6+FU1Xq6qp5a98YOrJnDFOoVOeRUme5tIYCKhXkz+YdC+vly
nlBPLhMP7AdLxHxEClA0yKrD6Dyj+IpTipsRmshiOV8H3v3ZxpAofBsyU54dKrf17jsWB5ChKBs5
kY3wT90ca7shyOvkAHTuOIMruU1Zgj34JKohF42at0+LmDdusKj0pcXnuh1NG+0wS9JXf6XTk2QX
eU4n2GCfEwv+C4aL1gPEo2R8xOnK58Max5Gtw6JduMnjlC9sBFbKe9T1MPb93TyZnR557jyJcKGn
IaErWZKgtqdFPumx1b12Qs9eeCYndG9X8rpH676NRyf4TZ9SuUQpXNh7jbrBJw3Q501Fz5hnuOU3
zBnuu1MHThZmqdVJsA1juU0COzs6zXisOG2x7hrmHM30O+N6j3kVwzxP/Uc5zs65JGr3zqYnj09I
GdhOqV9QFzJe7iPPEbZT05LsaBg1NcQ8ryXdXxhpchTZNL0VGT4nDiO2rUFRj3eTRw4orOZUu8ty
zFyhaVXiJZ/j4sYq24TtWEyqbGPSC3EMsJe8sx4o7ltVP+DDU+YGYn18LAyAP0aR8mFFLutuF9z9
8aZXPahMs89iaI4w/q6hBKgXR83qW0wc8AshzXFXo4CKkNBIglG2m7WTMPLxrnY4b7B7C+3N1uf+
dhY10AHu2f1BejMVip6m2i9BQmyCEsZYHlsDQmWUZ3k3h2ji+VMHiNsO/cYa7nObmlls2iTI3KEt
2RVVWb5HA2pnWtSmLuQ7D7aWJ/SXOKBmbltnejFFBqa+PU0c2X0ctPq+s2ZvU0tZ5yHk3XzP8ZxT
tGmMZGgL0ztDLehORjq4kdvapH9G2bMj4g0Hi5FLiC9It+joAW5uDlsnrVm5Gn17YRk5RPDFaPLU
RgnEL6Y5cPLy9th7tmD5U9biBeVyxdUnsjc2cuqbZ/KEbb0d7ADcGo6p5ZvLAHUd66qNLNP9aidp
8NlL6+q1SfpmZ6XlWEYc8XEVcl0DH6uCghPRmWb9mJEQvw4wzX8ZHVEe2rSdE5ZGzkJ7pDVbX4mk
pldDbFiPwYAhMfSBX4AsFtx4QCg3B+yD/LZYZOEfciud7/0CJ+WGgLLxOhLQ3LS1035J7Hi4OMFA
2VE+mfqLxPgXbxMyeryX9H4ll3nGe9CZHTjFyk20k9/k8XMWDPVntFK331nsaq5kLzFbomvgShOQ
rWAXATNIijudXe9zV3s3yTyS4SQzNfraVvmS+oZ5CC72EOg30rMJygUVKqMTcHl1S2ZD30i8fYdr
ELCEGO2vgbegTkIwYlFjY2RE9VX4SQ24rDM5q0zfB7Tq3fSDSSOPucRHMy/H/WI7Q7SQ49hJXZdn
KE9bV5JlQhyVYpNJ1/vmQklKV6MY2Gd3EJ8TqNtfXbuJd2OjW5h4bbwOm1bY8pqcGnhKxiy21bFD
KRSsbYyFxBvy91YPgBhSo1eHLQ3CHC2WuqYLN30q44k1kKOncBsdjftBLM+inYDoE5f0r1gmgujX
mRErlZz8BcbNrhYdImdG03xYm0nx3PueIcI0ViO0w8wZ4m3bmu62i5flqtCM9qQIy5/5E5Zn086y
t3jJhl2VDcOB7NO4S4BjHLsysSJWn080iiq5MUxDvCY4Lu+srtO+GXomvlPY/rkl/9Ut2eW1+7Nb
8tVr3b/+fEf+/iW/35EDG8dV4HmODigPUqABBOH3OzLEpX/BSDFhO9AbhzcelfF3ssR6k/3hTsxl
2cCHgeMQW9ffKvxDvvn5TrxS7Cw4FiDcHMuHj/+LGAVn3i/zZHKvKqJvJEoxXeO8NnhidBvZs7nr
QvpwY0lZQmU18U0D8JudpaNrTNEL+z7joWw6Xau4mrIinbbaAtUyPvixJFkjrZEIAOu6hahPinnS
28Fdg6lzM0AhJgQ6m56yNzY0oCHZQWqv3DMqV/9WJOoy2JnHg9TUSBKkrkc3aECMqu+S1Tk7P2j+
shjnZcCduKHVFeZ9CNcoh21t0HB9rieChvAndQ4cj61wfyg7bJl3OTzYB9HFwUtfLhYw5b6TxgZe
ad5euXSFxFtuoM/glOyG/wV+ge0UlCZFfOBCapZfcJKtJvNv6Wt3XzrPU5EWNOpLNtr53eIM3q6R
bPQ4d8QQsiCZhrCxUo0sSaO1+2KpMDjLMv3i9kAdzN4yGzZxbFCawH8rp/nGp7GTObao5iO/xNcj
/Ve3mZPpB2D9xnbIrWAzWXrFv2ORXqNHJ1UbOON6NCi82SEDVwAcQjaQQe3YBWVp4FRC6KzuaGzu
HyfqvI8mRVN7FIz5ErCXOmnk6QRV3CZU05gF/iEt8+yd94NzyYn/UwbSmNptWkGBmhwXJ1kzGWcV
D/WndPGy/eLL5q7hcbYZpyQFOOkP5jX0CvNJa8reZs1sWrdY00Fo4fXmAcJtCx/eclUODo+OTNpy
i6mI2FvKQklpMUY/ZS2kS/KpWRHIyxeNzeHOp7hs32XdgqXfXN70yvRI6Rvtw4KV5kZqXXNutERW
e3vRZkDAizsaxm4a7cEkpvzH37n32GN6rTlm23J/1nk0Ya8dyV6LU06oUNUYSnpVNpE3xB27KNSM
e18zfFaIIzFXtWzp/jH0t390x/8XrMfCP/1nJ+rNt/H1/fVH1dH8/iW/n6gGjVnsXuhApTITaf0H
VA8U2v8coRyuK8TGc3FDGPSr/kDQA/azipMQdWz4Pet+7W/IjFS2/nKksn5e/zcmnD50SxyvP8uM
8J2nsRatde2tbUkzHfXH2TLwXDlLyZQKmbqLprY5uUbQGUgJ3bjVKYTcKjawzMh9R68Vfo1nJ12K
m8YrGQa7abTsDQTXyYmksOdHNJPxmTJyEVGcyF34owMqGH36oNq1Gmr6aImSisIobA2YW9cSKRwS
OBb8j26p4qNniiIjtcvW8ilPENqQH41U3lpOhSjfNmGb5lMBUaix80ibsR3aM6y4XTr5KjkEtrHI
iPJ2/StHGtHaci6Kd6TU7jZLqHgKlaqmWxSzHrcbMAo9gt8wYz+YssI7NrOwl91iyKndw0jnn1pI
OuYa85nvOvJJ8zHRaiePKGeamE35BvHxxQsyVtNxnbvgwG0ugZ0n9wun1G231vvkXjlEKiXAuonX
9q+cFelhxct1FFM0rFyyiVCH8GVRR5otJkrFuEl8Htp28JY2UrBvhu4QG04m91VsJpa392HwJjtP
ZPqiM9DTiKhvaLGebixvqWpjM8yjRvuI0cgCbawj75fjwq7rYpv5eFCnp75l42HRrogOIjB1gxND
Vx6nmwITFijnqsxEEIIUAKjY+i1bMqRky02ALqc5e28UmB0yBIrMxukHa6WayBE+Xw+HKY0S3Ile
g9FAUaBkCu6/UWf34/rGIeyDh8BZdtqUq4Lnt0ua6DQMEr75DenyfLAEfqke02qFgGCq3nhO4hQz
xsuUlXMt3snBDVUVOsWylPHlnwPv/3Xg2RwMf3bg3RblK97on4+871/0nyESa77hOX/AQNmq/nuI
tDjMXNcjBaCb7Gf4R3/gydb+wHVDjZnA5Mj9Y6CkWMlwHIdlpM10x27m75x++A9/Pv1oX2KzYgYB
C3rTIEDwy85ZjIVfT67RnexBmyLLLncDppCdhamC3q+aphMn4IMdDrConG0hXKkBZnLy95IzlWU5
EOV27d6sgizea6TpxSdJkcGVT6I9vxsY0b6MIvNeHFThU2qA3BxUbkLnZJHd6VlWnQiWE1kvAhYj
Y17TNdRpHIBpS5p+Jom4Bz26TygTJaOWmu0O7IsIXojWWv7B11NMBEM3u8+jmjD2zSyzcEgB5YfY
NNhbyx3regOq189ex0FLn0kT9tUBFZJDou1Jq5+x8qQMsxq1iPZGfh9zK4XZRN2U30dg/2Mebvqe
P2469fBkEDCRTA7D9xG6+j5Q1w7YMYRvM2alRkMpvsMb//ssHpe8nl2YzZVkTo/hJqlIjiNIGHrZ
mE3U90Gl4ELJ2IILx8EfxEYpBskpBeMRjCpcXWHtg4bZTENg41hO/aWzYb3mrb1sCndMcBZRuWem
HjT7XEJefMd+NvdOsRmqZHaiMWkym+sB0tbeLKZY3MAG0466qsWdnsPhX4DHh2q0UdL6tD6mGomo
hEP+odBciTex16kFNGp1MUrqn9ygnV+9Ni+24EHovijmNMoa3I6jXxVnQehrj/hcHTF80ztZj3TP
dXXjQsAv5Qo82XgyhW5VwZYndpDcOnCFNmNaTpELpiCyB8eioyYBn70E8UVUFPkSYUPIL+LSDxdt
bG/L3P1MH3lysbDf3al09C4lIvALTxR2gNgWTqJNpwvvhwaPbJM9liQs70qzmZ+KtAW8o6RcqW0A
HZWRrcWPRfyYtpN1mFJXu9WwGgwhEhvLJU9YZ5ppaUcmerBEFIYX8yP+XQc9qnQ/d65RP+DjLiDj
xmmC0TDvrGmDYdWbNg3mjWMtuM6RxO2rLRLZcFTTIvaKJcMjHE3rKljW4KDROuoTjgSezn7L/iaS
hSh/MxRAh5AHGL5NfLT1tmCnH9Lk5NxRpugdhXI+5Z1HTYS0YcxYk3deKayosWQ3a1ok5XhL6sO8
MiZY6NxzZbh2E1khY4C4pKVbP4p+qvdjTCRememTgXgFscX3T/ykkSZbphmgH/71Qp7lAjk+PdXU
hnxKDGt5lmi61S5Qk/mWN0K/0pYaP2XXWd4J1TzY2Xn7bQy6+EAFe7dNJ8wQRezlkBF8+ay7efk0
Uw71ZKkhczZO5xdPnVYHkSr4hLnawIbBwxEaQJ3bAUe5IkDqbiouF3usfvNtHdTgq6Y+UNibyECE
fK12a+RZQc5zyencdfXsrl6bRzG2TmT4k8LiXYwHKnX8qQwzCBQRkPoZFJNsKRpXdAyX/RB6Xplu
Evg9rdOrU6MH1LDPjvloE269HTTxOVvEQ95q3jt1MWxHUZ10LFSK7Caj35J/YgSyryouO2cIty0r
oz6OvCw5BnbvXYMc6fhoyP5hKf0ywvPfvLkSlkKrlubOohXta4flCOmVoQSqi2qvkjyxPyeABjdu
V5rsBapujpYlSK5t05Ava+SwbrAvk1XSNzhEDeq9JnGiMDJ57a00+4YaLTf92J1NGaut46opSkdp
PcNrzg6W5uE8nJSaz6TSVwaIq1hJDKbGJ85OGUFII+xEg3AXMts3F5ZW6IvtYOBFW+3ZY5+tJAOa
PongVOy1DvStTveNWg0kCATWAzRp/2uhKnxrMlvt8/7qNwfWMd/bWozzFFfnqyRXRb1VLNwV9MQ5
J9f8TGLU7PGkn/YQI2yMxqtJn4qj/sbD2jqHiUTcNizMmDhc02NT+Vyu25lEGLiW5gY9oeAt6sAh
0qe3jmfevaHcdWSFKcR/FMNhHvdHHLL0EXX2dNYGM9tQWuu/2Y1wfms0+z1rO/NseGNPN0dXMT4H
kGJwkPEh14prNaX+dWAVxTnVGzcP8+Ut1U2uqjooKJs2u0YXD1OHz9c3BJIr7ScYPN10lxmGgxy5
BBe2c81Wc83UQmFRPTnP9KYsxgRmVhaD4xDGUwZRYJ9jjtzxeX/Ll9q/76DobNKubD5BTuQESQUa
ZF5UWyFip7x2GgqTwCBRG1PrIAvVNON4q9wBxJ7RXHjnVlGtByy78Qy+dxP2y9BsjZKxx/YfEze2
T3yHc2SqljSd0yICl4VT3VUxxeGlOTdHox6o5+r1CS6Qnp01QaEPVSPNfpCTxKAxDS+mEGlU+g3V
Ml7xZeiNr3kHbZ84+nIeVZVIVvMqvbP9js5UCDYRjiTov9bU/2ZYY7FlrSkfct11th85iCbxix0E
c/AjQosfstHo12axYa8CC7ZZn4nbMcktY5svAWAs26zwyYtUOyps6pmNo7hWX4UOE5BCLblLlF+8
V+i62xlpgq27/4VV4TdRZP3R0njc616xshz4Xex4AUgixz2M2QDLDXdUhDZi7kgAIW61Wv4W5CAw
hjLV9gNd4uz54/KSD6WF5zvPdtz2uqNkINlKKmQOlt30O29i8tLYx9LOnI5XWdUQXysnLMyDoWmR
jrq/4XY3soDp67fBUdmG7/1TBhxuI+fUPajRgvTlXC+2ag81eMAQSLq5awznrdPbi5Q+o0NW5xuo
FnuOaI29hQY70GZrSaPyjnI+JoxSd7eF3tx4rbh4er8P+m6/sLQL9QrCiZ7WyCpDccKrm+y4L/th
FxA+c7Oa1FOanmABJDvA6ddWpWn3QT+pfenK4GDPOcZtq7oAhbzD6JzuhkqnzY/mv41bImmN0qDa
qqDXeGibaFjaOrKThsVRKo19DbGQQ9iz8AKQNOBs9z7BYgT/lceELBzjWxe72taB6hOyx61C4oEO
D7Ii5XlgyYtC0n3Lqhn/tMbbDwbjweW6f3G10edhvLBucNAT9aCVx4mWigMLVS1MssU/VcN8KTNn
5UZ+R9f+I8f/hRy/GluReP5v09ptmjU/SUffv+APw9pauADoVzcB36wRZ+4y/wlN+4hEXGII9v+u
Kv0hxhv/IsaM22fFOfO3Vaf/4y7l/4uIs45PkpUfX87l5+8oSb9mpulfNXzTceihZfX8cZf70a9G
bSA8rNqhj2pa2XFo28V9WgIVYbUwbpgd+ieAgcsO5xWMFAXrwy+H9iXg6PzsYGx5sRkRnrCF9U/J
BBj3h1fyv9jSf3XR8t2xqyCF6XAPddly/CxzBVQMxIYK7GM+2sCeUhtGDx/qc+1AdQ07FIQ9S1yI
WG1T2H9hScU6/PM1E1cx3TOsM5i2PN/9CLX/9NoAsANfn3XHOImfqw7EB67RLLguAtGs+2DHO+Nq
qF1eJte7grmUfTYINX+Zlnp592RP/qddZuuUlChvhSvL/VAKWWxF17gXL/VZVE/kS46xqoaz0VoY
WfTWxgNFkRt9UYGxsce+uk3NWW83EIb5yPtEGpDbPS+SEvtFyCZUw940uBPueNd8wXkCAJKcaIg5
nlrM3l625P7lfVr39Q6jW00SdLB4FCVdEKSbIE5JpGX2WqImtC3wi0+SGb8k6tThlfXctr4RNt5l
LV1jEqKxxsOMaX9TUODNvDAwxiyeGvG8gEXatFy+NxXk++c69ysn1GD7nx2Vx5Er5uHJp58ROo5O
o2AINw6OCz8AlzhGMeN0Kd39FDDBaFg1VuyS2d2v2aSL3mfUg+SoUC9lo7tYyT1dRD4Zv62Cx5bt
RguibZjxUbqfYj+ZVkwgd4+FeOAnQzbpFkSMkkdso2USkfgf7qeMqWxjWKpnoHEpFSFrCSqDzkGy
40zfhBa3drJY0EIF5pEkydYmbyInIflRmx8r1qSDM5qmxgaEvIlynGcvn30Aim59V9Ri2oEdMAmi
ILCGthjyOoRuYux0HHE7MSiHkL2p7RfTT9671Bx3hZ5Rgwdpk09qcETyre4Xcx4tdjoyPy25T20t
m5/X1Bvaw4KncxuU7XCYM9EsuwH3+0JjqknkBMFvGjZjV1PdM+TGVaz50ynwjfjRYml98FWqmIbA
y3zDYzXeGo0xOdiPaD7Enl00obl0Vtg5WY1BxSB7j7Vg4VLresLN1wfqQ/pRfwBFUjJWUYjnqgdD
VNkE8NqrKRmFWN4lDPExuBu/HYr3OmdUZzkl8r2pN+qdDC/cnLFgnZ/ScdYSweu7QCB2ZPCsD0GN
cfu270FmL3KxjqVu5eOzi8sKA7gD823BGCjxKEouRh4Yx+Gtjj/Yb7BM0o07wCLdDlLU2vYDkz7O
Rk1DE6MWpN5RW7KH2WrmGUfUalTU4rW+t6lFlURwVBIQOoHCglagC9fkPhyQW4kqwIvhbeJRMNRn
kaqsRQeymte+IWqx5it4q08rrbzoi3tEtfUwJFSKfyKrb3Og4jembKCTahhuYvRQ/mz0ZDgPIl7A
hnVOH68JGrt/GjIXR4DIRr77KUFd7VaCU9YoiFGAW17UaBK2CZwRY2Kq+CCDD5Os1KQ+ya96LqR+
jR/B0W8C/HJy05pt80oSOXAizKzL7uMoh1PE64Tzy2TV53OOUm013mCpXZAaLI1ilILVWNHTb23G
5RLxJDDmV0dKobcnrig6f6P4PuB6WM5GApK8MRY1PmNeLDP6gTWnfpXzwPpwFgtdhGJxbzp2aGNE
sKrRdkoSFwltNLh955vlLeCCcSLLnmF56rEhk+1LiCA0DR+sLPbLW+GUHWbSxKVV0yc2fJwab+Du
SjtpdYb3ys1d8R3w3oWLeyRs7cMxxIyXk3FwYhnVyF9fCLEpXB+ZKIJNmSy1ETW+C3pIppBq4Ul5
/8PemSzHjWTb9leuvTnK0LjDgWf2JhGICEawbyRSnMDUkOhbR//1b4GZVZWiZFJlje+gylKpJCPQ
OY6fs/fa4ye2idVV7M5+EXguabchSnL0GvAJs1FXX7TVfXAgVh0HLJryYGEWu+3dnHxNg23/cPDw
K6P+AU6Gg7XyEenJNNxbtOcuY2cIEfAZM+x7MM8PNt5gJERxL7/KoWTnNThWDDYt29ECNJZtDsD6
QpC4ex7GQ3zRK2Qxm67BPTc1Xk2gytSiqTXy7ujTSlcbbiDjIeM9Q/q046+QX/ZWG6splL11pdbe
ShOxUzandAEP5ejMrH6Dm7YB6zhbrUiKPR1NImUKIF3/24T/T5rwDs6bX7odHl909z8f0fgk79K8
/vzJPytIpYj8cN21FiSDi7HMvy0Pnv0Plw6jh23mrX5cW+7/rCDNf7gw0ihccEngAloNSP+sINU/
LN9zGVViiaDp7/p/p4J0vfclJNUrZSguMGpZXEfvrYPRjHK5TKP4qAss1ZAteV2Udq3PHcAMQS46
WtBZ71h32mITRwzmxkymJMjXLNMsbg2kYWGveCv67T0vKiD0Tu5/TDBXH7A6RhsnWeNRyTdu9uQh
EZo6rfmpGpR0u+/TPlyjQwURq74nWYdFJt1g8OcsgKExnTX0AkovIzSnnaN2EzG2+2CVGh8nurhw
67spltHxo/UW8ypIyviwdMMClzUnd3wwkDywUN5Ga0Rs95YWO63BsV1okCG7GCHxSBArLvgRjLKt
qYibrYzbJKxTDToT3FrrYKlexrncTJqo2gURCBB+c34I69nZz62Ob1jR0Qz7y3rkpKpr0Owuhtk1
CJdZCoKweJyL+yiWcm87sBdTzV8rkxhd30o+VGQNIzgmYtfDSuANpLAaDVFSEYstz3MiuvuMmeUN
0z3nNnzL7GVhJb+3mnsEcblnLIHfh/7GAxizs+vB2rjMQgK+c8a4lLxigZR/g0JGEaLtPPZZVqPH
jS/UGiVs9THJBsvQBRSpIg/UQA9EyBH5MYuRuKDlOEAyKN1u4yGf34RFd+bDe/gg9EzSa50s1s4Y
7JbX0ewQQaxLyfWQ/QVtlrMuNT8lazRyz7HssrD7GJazCRGz/UDjXgDcM8vndkxnBJrkvhazFwcy
m3eR1UmSlKLoTgsmEMGgqvwSX3lzlb9lNvt5EasN6GMXJ4J2bzLHCAnHUsOnsA3t27mpUsC/7nQx
L/VLZ6/J0OW8uLuwSaKbhXjmE3Id0nZdfOueNSHcJV46t8iI7kvSEy2ne0KfWW6p17IjLHOSqce3
lOrpLbG6jSL9bI5N/5qkg3VLHrc8p7p17jNCLwLenj3RtLoB8zgUnLKxLtpLZK3P4yT6K6O2jZ09
mi+iLJ7VOFZ6W8iyQX9PxHYOs+4aaIKF6L+dvU8gIfoHjBPVNh3CfOc2IVndS7HmdptvGd6hW5X5
Ni/H8TmOlsokeYDO604bjZ42WUoQONED9k4qKAZJqQcTzwiR4dkaHl43vnK2kzWHt0Nt34zS+rRo
/5PZ9puWuKNdq8yCas5Nan8rFCm7h4EZ/IF0ZPcRTMgDHocX/BwhL2W0tLsW39aZzLGtIgmntIDL
lZCZ5dpnyA+tO34D2xFHx1e6Sc5RaYxHcL2F3lSuiKdtH+nRvtRvGeteCHEGnUH9qUjWDPZ2jWNv
Tb1P14D2YY1qJ++DTDNADoEeCHLvSXQnMDk+Zm8p7zZleQEoz0JZ6fVzCuTWZGKU6BqPCGWevNTS
CXdqheAjdbJ2Td2NVMj0vSws7o+iLWaJMP68NJVxFjGFPGQeqb6hiydKrsB9f0XvlwIVFjVT9jRJ
wPxF2oznHlEIouwKgn9WiL+38vyRCctbprkZvlVo/y7ag62HcWibYm84pWsqQMW8/UD9mGwHq4gu
xwFs8LZPl+WBHFt5lLCYLyezMwCpkFCen1OTREFBcAGjBNpWu8lwiv0qTpsnskgm9littsHfEmog
13iDXJrVpZU7bAckCTAtTpk1C0G+5SIwxiPrWrXNreO3zoMn2Vq5Lt34WFoIx2b2wIfwLWvBX2MX
lhVJICY1YnmxQO63w3OeeUw23hIb6FW2exuz2GZahqt8iebXHrgqf6vUHjw9AEGV1D21qSbbhlQI
V8UkYcfuWtCtqRFhMedbeJztRZL3z7xY3P3Y5cjTljVwYjWgL5uuHgmiKFC4frXf4imUUPpCrJkV
Q2TdRwRrMlogzyIxSbZoSy/FJIMoJF4QpoGv2li8YAlKBHJqrckYNoKNI3hUIopgzh3dUUw7l6yr
c7djp8sb24O5a9rUcZZ/Pq3pG5Od34XuMm+VRqc81j4lWtgmr30y9ytLwhMA8ll7RwuJt+/YzRH5
YbFsEEU3gTk5Ny3xBEY12QAf1nSQeM0JSUwYMhmIFsTzpIhIO7FOEKZCKu7mfCqKBg3QpL/Jqp22
UVHDPmC/dQEUFgDYmlPSLv4Xz++KYyTpqvtkQfbZ+KUo0M6Z1szuqed1wyDg6LU6OuuBhuMt8q4G
8MGdLp0rp7BLOhKDxNaTFPuWQUc0p3f9mq8yximmBNc7hZO0eRrzq0gVy35ihs6rES2PCfdAu3u5
kJ4tgD+B+R96AiTXZBcc9nQ9es7rXcPmAGdk2s0AA0CfVDubN2dLC3UN0etMZ4aGAjNrNndu6S3m
Lkbmv9zjz/GNp1HTmggS7KBLkEiy+sw/cvuYgOa52LFDtOazWib38m23u7ztfDVDhashs2iKVNJy
NnYK+oH2BTLw+W3zbPZLc20jX4zpC7TLo1P302NRmdNJrRvwft2KY4EggGoo1ASre86Gk+lmI0t/
XnIOiAU+m9ctPSbCGqSG4X6e1w0/9Vx6Gky/d3Ak0xDwUMOfCrMgX8SRO0irI5lfawPB7g0a0TQV
9Ow1+9FrrL3z1nMoSpbXrHE4QdkMhCE2o+ijmMM6UClBiW2daYoOAoTOkre+hrnInuSK3ho3vN2w
nVaids7bui/iXWe3tcUkayYbZsOby9xLUBvhxiPUJ91qxbB9yUBlYTcqaZ57euiPbwn0eZwZR+Ot
JWMiOqPR7wj/2pLocbdVtzQYymQDBMvzF0hJTk+e5trr0RCBcHPih7n14ra5A/ZDW8h352QLmFoe
MKBMe1AS7tny1kpqMmA+GwgUCjXw2m3Kfd8PwrUDVbw1o/K1L7XQ7NojjD04HUkqm+Stg0UKEj2P
DCeuXhtcsB/odRmJjnbOZBRXYnbhyVEBNRA4cBEfyUQ1HxkB4kOqSdckO3PtqNVv3TWddSbS3K57
YvFedg4n6Ryc1xfBPIYHW5qkslBvYc/NSPne+G0W78YOWsim7aW97QhYJRbAjYvrssEtBM467ned
jC+ZsteMA2kVjmvTEJ4R/cMS7uatfusqalnmB1G67Y6duYN3fu0/5pgdvtEUi599au4PNIjUeSiI
ANiubnv0XZRmQRhZkX9ZmBI22KyeunUPiFMIeNO6LyRJDufIJM1ja89Lu9Vp6n5yAEONuJnw7CSO
Yh3Ibf8yT+f5BQBxBFwP0x3raXJKRoMRFR6mp2HI9LzFrqBCDJhJ/IbahzTSFQCTys65IwbYWQe8
TDzAF+zAePsHfyKqQk7DcE48w3g1o5290ypD7FGO0zaVjLArCEGfSYTC8YO3Fi9oUnXuprZqcrTt
oSMfdkIGEnYNY8rY3duDqb7ZpT1d1MBWrrxmqe9rOqrg81WVvgL60w9+aeZPZM7RLmRI45+qOQpP
icrNEz3yZq+4X8/NJnJvnaUbt6NZV0d7QSdgLHAVLAxpuxnfC7U/0ylJBwK/VhdnLM1FuccYJw+w
QcvjhKV7U4Mve4DS4ewNs911dUOyb4ShJCUg6CpVyj5nkRggRcQ8LGqwKVhY+ZysTbZ0futdBrl/
NwuroGszYBuqCs2z3kJyqBNqFARCDQVUl3+NIdKTLIBXa5c0vfs6dLTi3IIJ8LbO/emSZubk7MdW
VPv/3f//J/t/y4IL+pdxR/C5+/w/L28/efW5ePl//2ePcTT5Xnb858/8e3bErwDGg+qY/IY3osE/
Z0eK7T0IXqY39psc7t87f8dCg2f5606cgBhoBMjz/tz52zhDmKMQaIBg822u9Hd2/u+HM/QVpMB8
ISUaZHoN74Yz0TiZC/rYnrDoPuqwHvvQaYVN7IXoMVdvlGxLKP89KRJ+DI3mL+fqJ6Ohd10HaTKs
AvPL+fFW4O977kzTwJ4clon5eW8POzUT2Wwldh6QhlOc/RcfRfeAjolgF/Iev93Sf7asQq7qA7IW
cpu3IxsRSO2e1fwXR8WpXFN9rHXk9E7XvVhTxmtEdIe38BcM7U3AqwQx3KT6P/xVX6f/G73ghYBq
UpV/RT4hRv8rceXtBMKnIXzW4aaA0fz9bG0auj7LJScQESQ+5dm+LVvWhWlwA6iq6Ra0AQzHEDlf
bcIG/PUp5R78yYevQtF1ikk++/cf3k3kMTp11x2MSoB7hT2xKy3R/IZN9OM9Im3uS+gewoUZot59
io48B+VQ2B9a4nTpMdhAHDdyatSwS+E3Fb85qHcMG86otJnH4poiFM78ITNXNkBqYwvhYDTT74iz
9kU59qsH0X5j5cW5G6L0+runUYLURpq5urks872zKoyzdPScqgdNSkRGSXo6F4sAoV9/ynqa/sLm
eTsuxuA+ATRgTeTqpfjrHBRMsFVmTdYfnGSYsesaFwQxXCPls7eTyZTv15/2s7P41097d9FArkQN
gLr+4AEjBVzCHnmgVkWzCRMBQiUZ8tmXX3/k6q/74Qg9Zrz400hz+WHOPPNy9EZYBAcrdgWjB5F/
jEwM5aA/vbMe9V3QN3dqmL1tg9D+m9thZq+lQ9RhWx0G4vN2/cSEsB1V/XWaHOM4g2Ld2BQd90uL
OofmBW5tSPu//t7Wj4+RdKDZkFkgPZrE71OaPR2hZ+54jJKxp1MgjDFTm2mSw84wHHOTaAuxm0fG
iMPZ29n5JJ7NRU3YtLz6SmHdp4CNqMWJCPvNsyB/+tVYn9cnXPK/9e//AsJJfbpioA+7w9TFOxvq
RIBfbdo2ntvt8NfpD1NCdpk5uj7gg3wpT1OZthfEog4ZqIlu2AxY4TJBKF8zlySuWagTCG9iOw12
+Tzq7fbKdhfjuGRjFTRDhydDSVx6Xet/7MfE+NgNHv1dJwHFKwy1dxx79bO13q6vplOXMVAZDdph
EHiwqOfyPBbZh3709BVIFgex0UJ+ltMnwWh01wBZGcUlRLzPInc2E9F3F+xt1ql5gwMESjEqq/k1
m527zusyvOpRdgYmsbvmN5f7X1/1Hx8QT8J1tXnqhQ+76N17l9he+i7jetHphhkZXujEM4+kyD/0
S4hGC8Lr334k+US5qvrNlfz/PrTaB5PK5izrDm0I91WLXW5FX/1SXLROKQB3u0+/PsIf121yLlht
mGpAC8Gu+v29oyNs0Fyb7pDOOegC9HNHgITOzsNUGPz6o368TelHAaRFZULKBo7L7z8qgtGQjkPF
W9Ab5DlkDOuIpFb95gT+9FOE61GmOOzN31+ywgyNohs5gYbbEgnVKN84A5bh3fz6YKwf1zGOxmPA
SbVoKV5H3x9NlhiL5dJMOpCvVgX4edK9OzHZho+GoBOr2GFyuPExsUWn1nts7ehQiSz53bL0TjjD
C8OTlDAW6hkET/jlvv8aTVOJJRmUPogpV7ux8fN9OKbdXowdpCOHPFsEmMg3WrN6yatR3WVdOqLa
N4fLYlmck8yq3wHmnJ9+J997c+HZSEHeXWjmxmKcZa8PqRF3qHJzT37hhXqjhAbx4psEWQ3TI36T
+Ktut10/oGGobEz9K69niPTeNnUVtLD+wKxbZKsqG+V1zAdiWIVIgknMepkZPvOQqHsABjtpplXg
Gv5j7aXtmTVI88KQVn62VNVneJv37swHRcJiTD/6Wv5mAf7xpb2O+PB4825wiWZ4dytI21NZmHIr
NIjVy/CgIPQExgJsFW6p85sK4b1U6o8rrtTKXnOw5byv5yJhGEYYO/pQRn15NFu580383EvZNVeh
xgQbK8j7uWShzBucs32dzFs3MTHVeHgpVJm/5NY0XGV4IJZlfO5TjA5N0tX3c0ljCcCkPJNRPJ7K
Ob8yzO53pdvPD8C3LFKKHMHquj5Zf3ldhVbrMz8auWURdsPiqvf9KKIPMe+Ibd2olEaSZeIrdjvq
gbZAvrF8pln/oFvXP/Y1SCBYIMMOHbV/Wy2qevDE8rLIsDw5XuzvxzqacQekoPHR1e7bpKl/c72t
9aH6vkrjofvLEby74DS5+cLVrA/Qp6NTuPjliRCdMkjXIWbS8grtsWqnqUnYBeFluhbFb1a5nyzb
LjUwO0+B7F69jyUl6wLnFIvOoY7KVz/BnONYxC4D1vF/c7+te5N3x8ongfnzSUNSDLK/v1pNGPW1
CiXH2kYPGZC5x5S8YAIEZ3YTcs5yZsyuQbPZteLfHORP3r4uU3OXPCteTBTe3390FyWYpVKkxr2a
P0E2oKvd3JkifM1V94Utrxv8Zk1fr9sPx7pO+S2bDTfz/u8/0B8MPSUJCxfb8PIOwduVPYdOsKpm
ts6wvJhh8VAlOJCiuaa4EYzNBh21AUHlvzn0ny4pEhyEsh0lzPev5YQgORkP3GGjB83GXLFLIiYT
DckQGpI4ff31kf/kpemaVI5kF7D3/sHj7PppFkG54iLP7XSIaoh4C7K93+wR3+Nj16XLxWQhuJM4
vT8oYEkviCpL1PrAHrllsDbFwUAiydYNPcT3msDXaBA91uQm340h2Rt0A/LdNBjny+L+7in+cVPO
l2FXyKYcmq18v2qPcy+XWKO9coaO2UWkor1uF0aV0HuiwiLKRRflARHg2vcE3fXrM2797AmmGuJk
U7cj6Xh3r3VkJttOabaH2RLxl1q1hoSXGnXXOrEkZmu3ct0tKEkgj8bsIx0bcPVI4rdrGrFFo2hy
jsY8XpIKBNjJxgdsreIi/e3X3/MnX5OcNqF8XFQm6M53z2CSglhqWtUcYNUXrwKE0y24WNBShmv+
V5/F7YFRgwfsh6UGfeLSASJrDozT2lvE+y7KCRWep233+W8flQd/22XlREoDMuz7Bx2AR4Lc0G0O
ZA+hbBHLsBMIIxGbQDT89Uf9ZBGj2qUtQomoaGq9K4YweEZp1XNQCAaiAMpGfV+gV91R40D9nQoB
KQlQ/68/9KdXjf01aiUXaPT7aL0oMsvOx3R/mG1CWgtJMlYCex/ZDMK/X3/Um0D+/arJu9AEWOIj
r2fF+v5kepmo+mixOJlixa6789wBbIrFiJ6xCBE9uK22A5eaPN82zjAae3aO/bRbJoXto/AkDxd4
usU/ognKP6KLAVbZltj/CJMkjRJyaxN/rkZpXBKBK/U+inPseZrIWqBLHJKzVW7leYHPLB6OH7yJ
+Ry3vX8AnK+WXSUIgQD9FFsPbm9DVM8Fg9F9ahWQSh2/jm10MOSqwJeiWQJxgR1MfD7FLdF/bZK1
8QdNONm8ZuQyC4sTqxA7w6ytU7FME9PAPhv0lSzK3rsUiLTDW1Biebnnz8a4L8ZWZ9OmF7DigjIb
RHTpKeBsAfP8Kt33ssnvBwM/2wkVbXVmtRkmOeRTCJr9OPlYYCEWm6knLOOoIhKzUUlURD7PGWkl
u6LG1n+RDmwnky1+2xGTjIZMFpAFPE9BNcyheQ6lKjTpOxQ1hMgCz/ZmSDzP/qx0SL9Ehd2E0QoX
2z3TWKCAVafT+Qb1+HBfJsipd7OB+uTOxDIX7fp5iPojZda0b7zJTxBQRJBwxUoRBXue+ocSY28F
fH5t/5locLNNo6X3gYSCfEtqOQxXLWKET2ldy7PC62/p8+6ZY9ePYW3nT1AMzbuudEfkSzgESePO
1xjS6x6NGEO6/UQc9l2IyWoQ0MazBfC9LbAfZX5W7KN+ODnDPGKv1J9TJD4b2WPdJVDX2ReO8004
xrgbylnzHVp1wFNmMsBL3APcsGpDTcfQv/Sjcy3q6YvqiNESSFI2pRo+L40rzxC/Y3CeZkKq84+Y
83eQ4Zsb6ReEEpllgrhpXLCIJ9a5R5DRpYNt+0A9myANCz9OCGQP0rBukwQjbwyM9UhGIwq7NOsp
KrQieVnIQGu13Gb5dGw60TEzRd2SLNl1RndpGkV7yqbJDhYza3ZTh3YavfewzVRWnI8O9mqu7A3J
SHeFEU87a/Righ/aZTsbXU8sB5KghQ3MXRjl9XPprVSlWHkBugU3QLLSvrpGU25RKNcBSI38oKpK
HtvcR+9O0uvRMRP7qBFM7GhSnGyLoAFZW0yU56fC7JunMgnPlBT3ST8/STTpuxHfIKNWDB2usQoC
s8I7Dr0q94NB7iQDvIfM99acXRLRMXJ7O3PNHc7HBh1/6kN/ZPd4l7TGcNNErXene2KkR0dfdHOo
MMAtqJ6N8kU3uNo8p0vOoOUWZyXWzlehux4CElSALMiw4qH+QBQOh5ituW22xDwBaeoessrDM2Bz
8zwWNjbSQDXsJnmZskikUT9+QjSXXTUjdxk8RwQXmXU0+2jeGVVX7V1r8c75B0LkeSB2IdaaWV94
8xiN+tMcMxwH0woBeCR4U9vtJ8NyMCVEEEEI6BzrgyI06OukSJY+c7Lc7gN4m4pMq8pS2FIZ2aek
NXgYFPN5kMaJ9qwJza5qkrO25UxtuqxEO+gVw0NMV//GzlP7ISzKLDmOKaNp6SfNlTXa3r5KYILA
hqQZFyfa/OKaIfUk/d16pxYzP695n3/ttBe58FgjFGyjTJyLadLuPYGm4atPc7/HFOmiM6/DwQyW
2Zs+MGcqXtu6JSJ7LrT1XE6qDdioy2sfSeoneMljoGM9HzoqlgdvFumnQfN7ZgzLu6qzmxMev3yb
TKU42oI5OF04xiCgBXBZDD13QgwS6ymOvOZrA1t4n01G86QazH1pG3bEJ08Ec8MG1o+yagAHq2qE
dUb+Rxf0SFsIpbZJ+MtMQokJeQQeRsF17MnbChQtZGw2qGD3GfumAvYec2Fy2KLhYxOuMfAwXSwM
gNEYIoEwBX6CAlLGsS7jfL0HjfEU+Wl8D9wWhK5qe3uvOZ3GR6CUHKKqMz8+j+yFr4qO7CPcsH68
jEIihhOPCNbKrJfLqvO8CxELfqtDQp0wExcHtE0cN0VPc3LrOL5GhkEGN4PJHY0zeR21PKq7skLN
s/RTth+rSRQH8EXRNfKiQWFFj+U1DxEhviFXlyY8ebmFT7J2HNdf2iFqb8XSWg+alJHHJM3mwzKj
UvdiTirk4fnc4Na8rWVbf5HrDnNbIpEYgqwhko0zm5yRe8SvNfrpxmpFcyKyjhC7QRMRD1P0aYg5
r4tSzVdcxXjTlz7mtDbYPk5Ah+ZD73f6mz9qeY3nyRg3Q+VH1xM4NNI5XcBA35bUER6TenuENLJx
gODMFxavZVg+fhptDWT/2J9K4v9YoXqcHE1lWg+1NUugalX4oQYUceXKvnp2IzcLOvRsJIkZCwGU
g0e9Cn12zUL2GujIZhhERj+ctwUHDwl/+gAal3UxWs3uyP+C2jSi695vXIBMnqQCLyFOXQunyY9t
tvqzcSVkaZBkRCvHkDKSTbgGykfRCLUoXWoQvwjhIOV5OPbmmaY1ul/9TUU49MNwznGzdOtd3sc1
YGHEt/dJQcC1gIehtmPFl0QLmN15XVt/dpBn3pP2BMe+Lsf4enaBFW3Q3LZPOdFCN56r+49mPWV3
yXq514ilC5miFmvW2HkrI/YajCF+XIqM+FpozpqXxvONGRnzq7mQbWdMAhcOTfvwzi5ScXwz/7nO
yG+sMCqyO5g+oHHX35ZxIC9oaWmJ7wzyLV5VTSNqGxJPQu6atBBFlACxce8alSpZyeFkbhODhG6B
CWPZ1Khl5mMxDC6EzJ47aTEwkAS0EbnTWLPi6zxLyYIrgNHfGE5KE3eYc661qUkMP7oOsvetr7vX
ysP/wuyiSLdNMTavRpVaH0VUj8EA++jFHdK+3/LoNbesFstrZad1u3VtMBDbFg7xi+31pH2Hg+Le
r2tOi8ubXB/MEQHaBhep9bDYOVblzmQ1U+7wAvague3CcjVn2/VVB+D+05SGza3VedE1Csnk0OGj
DBLtOVC+YxKHZrylx9KIuscmSUrztgXAyxqPq16CzAKZTEWtLtkTh/u6J2wKG6Ct6Ox1Ts9A2PGe
8RZ2VyHJhIchR1op3IJLw2vzwiGBFVw18aU3rtD1vi6F/tDWSMDbJX7toop/peuaTKmhdr4A6ZF7
URPmUYu5ChC3o5keHPdgcb42TDRFkHUtz2HnFPOdVbTTDUUIHmlBQqedR6SdGtU9YJlLYObELJpm
wl6mbYOx99Orhv6P2cfDKS3qlo/N3GtzLMgiVQXrhrMkh8lMjMvJNerrcpbhPUT/6uhjDYxYdNFa
WiXDxgYAyFEm3WmYZwD/PJuXZjS2F2WkylMUl/OGUp8S0Gf8R5Pvsy/j5pipkgDLanC+Dbk4NYlp
saR5/J+jm13pWjU4HHE+Tal4pN4mNgzA/Rd/XOdMVUfylmEfm7ACwtLEFKQDpO5HD8z+nQmIEed9
feZWeRP4pLNGm6SpMPUtn+kCF5+yQuEGUhUnyTYIn0lddjhbNc/wA9IsI7nNMAGJhIZ5nRWi3uu+
l+dF2E+ByO3iln9QNOXxEvWN4bLU+dFdr/mQXobqpocmsqF1OiNjI/jST3z3o6u7/CxJ1Ed0esWB
pjkEX5NSDiD6XG2qZIwvE7yHKPbsY+gs1pfYDEdgO4Z56GxrCbykd4Jx4GHUdYzWPaNVGM3EZVBc
iMdUyANW32rP48QCXKXsTiO3QRaGtu91yHr7cSKz9cov/AXVQiEeIOekWyIFxF6ydnFoGhi/VOoW
sbfey0FPyLeoCzdt15JnMU31y8KoCZxx1CVXTcptkOBcIFptKhFH1zVZZaJINSwDchFocePTgBzR
K5eCXkTpZ7JkshNAx7Mua/J0I4VBFh0etsW0H7vEQFWNYCxxFgygzNgoyFR/VQgZfsizijIDVHbG
EogTwuuSO89slwAGqneu54TVy4wxlOYowJ1WXmMTAEMfjz6i/DJfjvNcDZcuCWklNZqR8cABq6qj
KYUw5JAT26QA1TYtiO2UANeUx4gZ2nBJMFr6VNjCPWBXL3nlTNhzEMHRPekTY7rxIaBfzIw02NWp
ASINmREZnovEvJNKnNpUTWchsrrB09llzlU+1+WoWPUrgicZ8KwhZriZBwSNLlHc1mT4Tz4zU/Y5
JJCX/ZbcnmXb1O6wTVUZe5th6KynaRbtsbLVF2txX0LS6J+pWPNnuFcVi5Y2PqhcGntn6ElzIsjw
dnapWPK5tRh6Q0TYRlMY15RD09lgk+l3MhwQLsEAEkKdKagyvGOEW10b45qSRTpSdU2nqIIa4qVR
xTBojWMGPZE+F0Va3trkJN26CX1k8FcsoClWy2+5ts0vJdbqbw35sPXWNviFDSqAkwQbeD8L2xuf
WioerlvCJqeIAVFvBoNg37wminhZo4h5W9I7W3IL62lEQ/JYkcXwQH3MzpSkZ3GKMhTaRVZ133Sv
aSIQm1u8ZsSHkoK4dOGzqVPrC66p1bQqyOrWsP6f7QyG1laEieFv64VgWEPWyNXtZfDVbskkVPdm
YmHQ8TRWexV1Q7UX/khHo5/iFSpk9xQ4WEGq+9jtM0mNWYXP0pL8jF9PxHqREprJgFxTbqPSmbss
wJmeVbuU3B1yxlBpKTYxiGVxWIpSnydgatk3muVgxduxHpNoT/HKb16wI1dHMdJ+JBXVn42DMa8l
AI4qDonNlH+RxqYoA7ctKFpzHCqEVyy86rakGYRw2YaYYFZs+Ni8I1m82n3Pp/aNM1vBKBz/+Y+T
KQcwrdjLHSvZLtpEmaaI0iP8HRfpgQCfaOs0rgZV9tYUIEGrvJfox8pDnqS0e1AWkCxQZlN2Vlt0
ga7tRmLf7uQiz+e2q+4xtWeEIgrmreCXMAbxHEv6IW1tZum5RsUwAIFD+HHpD93wOmBT4FGyZR1f
uoYVP5AtZR/KviwfC8tXt5kCNrWt8RY8jHGt57OJNnx4LXoO+sweTG4PqnK+NbgiLh4+jdJgQkX+
/JZrwrNL7z+eA/oynMWBtNKORYIsuITdC56NNfZt1oN+SVKd5ge/bxsGGP4KzAceZ0/bHBkz9S6X
czkr6f+dxmSF6nAfUtHBXajTo+m2NFFaZivI35tEwh4uYTjxswbvL5hv5F5uSq9HVmUv05Jfx4Nj
bpu1hMxVaXc45e0YQAKQCMyp5omZdHsGqsW5LYDNX6BlSj4uSzx+GIG9/TEc+1vwksNLteou9VtO
19eqBttC6OYbO+Pff7pMvraVrl67X/5XDxUjleL9f7J+m3/9Jv2vPLBV9/ndH8ANJGBY+pd2vnsh
m/eP74Bob/0v/9O//FNJ+lt4CU6Zv7ROf9CgXrcvyAS/x5e8/cifElTLcv9BwgtZWzZurnUY8y98
ibWqSbGWeh4TP5zQ2Ej/ZT51/4GkAmMpoBLFLHX1pf4pQRWQTbCGr6NiRuXCNf+W+RSx4PfTMQZw
DG1ApTDGYT7zw0wq0z0CIGJZbtIMc7u/RRSLELyNqPb8sBbiVrgN9XOVm2W7D0MEJ0w0hsTdZjxH
43TVvNFSFfK2je6SDBk6GKUVqSqJmstM5PfUv/VQZmd4xs3xpssb81thkm4wbiAbIWdoLUQAGxv1
Os6TKrYzbzhUvqARGjfpideJ9eqwO6w2sIm8L4ZNhPXketFJZaLZVFVEikSn8jsJHOOAB28JHD+n
PMsSWAql4/bU3HYLHmnJ65b10xG8DE3jiwd+Nyh4/bMe++rKjYfkmCxLSpo5gSNqkP3zuFr8BVgl
d9OWbnzXKi8jp6uaZlxwS+gHbGlpEzo1R4xvZ+mgCTR5HfhmDA4YwCWwb7T80eh+Scah+4BXLk6v
JMt8oJNaXTNUFkRXJ1NMKrcLkbxjRx9vQn/yh402u2S+V7LrkP9idn0KZ1hGBsA5mmBTGN0rATBu
oyucBtuZr39M3DA+X8ZpeiKDAL6YKybzGJXOsPPdTJdbk4xaa6/+P3tnshw3km7pV2nrPdIwOoBF
30UgJkaQIc4iuYExRQnz6BgcePr+QGXeEslMqbJWbdbXyiwtLVUKRAAOH/7/nO8gq8IJmFj1Z/Yu
NOeihu0ZW5XioMlSX057HnqDIpy9T142uiwClNYbWCUJBnhXEd60TvFXtmuR08GlNt6IS36JqQcm
YApFbFOs1oneW6AV4LkVWhp/I6rJphuXZHsMtf12jCyxdpqkX0MXca+aGULKqiTBFRdsB2ROFO1h
quxwpReNcaU5/rgph0IcQpvkNrZkjngZax9zCy/NCcnJvNReyQvKVtFEH3jblFp9bkc6KdF62eNB
OxB3NXo17KhSet5mCetltwO4p760swbeKTVnw8ZYQwEev7CXgE7oC2lDUM/oSKxgUXge7GADPfe6
AKhuXfUy4lnNxuDeFHWZjGtXU359n7eD26xIFF0o0nQAVq2O9TCwlCJJSpj4WoFpha1/LuoofqHl
N2FIzl1kh7k3Fdr54BD0GoQs8idJQ+uc2KEY5Ws5PptsiKDyybHfTHUJe15FU+zguDFLGne50OM9
hXWiRzjQ58aqMyDpBeMcad1exzSyLaMkuUzUBCEwbgaaJ1UbFrzZoUfYtVVPSbdmH9aPQU183XA+
z0nfrDkFWUEV8zTX9VAsBJ1Sa6moA1yMLgVLpwxaCFzuhZoL2KnS0Xdt5vbrOML1y4iztWWbipcx
19zkpFWIhAAlhzmIRuS4xJ3mbPrMRAKO81UTHWxdXiNKT+cr0DVfNEQYvFNsFEFikwLonLrKklQS
G0ozdAam6kGFVPLwUPXx7YznudrZhMOVO/4jliNfK8ngYCaabqj2sW9CaUkgJpgUU+xyPTbHMzcN
LQQddftt1Ow7pxccwrG2zTdDZg71fqTBVJ21IY0Xr9ZgRkipX8xhal7ZhMOC2bR9Ur3SiNmMjheC
y6lJd7OyvENKMEG29kZNqXNljLCEyADGaVq32c7zQrloAENqKDyrahuBjlybs21dafWkD1urj/M1
DXzzWImSEB4vJfhUS2rSTnHrUhyb7WStW0jpKRhzjPq9pSXxnOJQvSOub3iELjW0gItsm3fNVsNa
S2drUxhC686wT3PwJ9labgQQxPbI/wHvs6FBOFnB1CLoZiU8glUPRD44ZkEYEMJQfYWWEHKPAl8Y
mFKQjuSINoJUAEplT7HHqjZhR4QKWQpO0duQB+veI78mzG+NKbLuqVZ/JjkVYXciFYcIv9TNPaph
90qws11HHanpncnh3/XhE21KjombXHMwQ3EaV9dkqdmnvDABERStWxgXI6FiFwRgi3TnNZX10HTq
gfPo4K86gSt+bSQQY4Nh0Du56odU9ReQzY3TPBmS3MSK02jF+hVdoZoKW+Ls7Xyap31huZ3roEbD
hRUeGsmscbLpEGxfNwn/aD/115ugH/dA//Xv7ab+bmP2/+J+yjCWtvXfw+D4xXESPb/dUX3/S3+a
eszfbIPNFPVxx0dRK+hM/2Hq8fXfbGJXfPZTdLycNzsq7zeynPVlT2UJDBuLOOBfOyoIabqFJ9hY
ElFd55+Yeox30gAEqmjgbOQfOF1sZCjLhusHIRy8VNU1uTSOJRY/Jpshgu20b50h2YWxTruFPc5U
VOdpZmjj3WujRFElqWGY+rXz7IIuMo31pKcWUB8nxeNM6dVeooUjs+EN9UNY95TfJbuyH+705XdJ
1I+GluWb/SCUMj2bL+xxa/UFaIfP6e039ySO5LCd26MFauuaJEEt+H7woQxwQpaCPuznFyS85sMl
bR1Iuk0pEmED9+ztJbUkt2rwCtERfMt51blaGuR4hcQute2o4fzUaA3tc2q1BMv7DZwCe3BtoAj9
EG7RMzI3h27CCW0e3KUwIcJ+3pnQ3C69MnGtDfUS8t7xYN0yVXYzi0NZHVEshe0Gqgy2eLBl7FGa
timgoKi+ZM82Uh49amJQ1/lMkYTdhfOMwIMqT9ostCef7mwEnSEk4ngkl5A4FKFBuxU8EaK3OmqC
21Bq08UkKE200CyaYLRy57m1KJxOtkYFGUmMcSIvkL0stV6a/mPij9HGWL65HtsUDF6z0A0D7PQq
cSW/TbZp86jRYr6MBIXLlTITT2GPpStnDtT9AlGZlNlVXPCN4G5ZZ9Pi671rGxBqsP4007g1cQTL
o1khPzyx7Xe1rXAnUT+YVk9adNdKxl9E5A6cLcAp13Nbmrcaq4xCgksh6skyO+7c9/mbjRoLKkhQ
SgMDp9o5gMnJpSng8G1rcs/UxkwHTrNqbnTswKDb4stwMKRg51EuK9lo8fvTDP5vOhK810/Cvx/I
t2BxGLGHr5tEXFFP4aN1ugvRJplsnoKwu04+xCMLz96eqUxsuI9LKzNZjuqJltPiV07XzDfTTFON
ZgGuoyM1CLzV8/JI3OXm+E0CBHesLbjDCGqNdZJ3hBjNwzBexJDnr9AskH1EDobaW4iMvXWDJxfr
RUurE72zwbdshTu6CDLMfAMvNFrnTgOQwRzVdCtAyp3YuCo3KNLQlnCp++o5SjvnYpoica8NrnEa
h5qAXCuLnsEbE6atQd8NqKG4z2VEOmINNUORS8mQjUddXQ6cIbwgTkfueJGH2QRFX1ASdSrXv0e0
ILsrM5k1dtZ0P9A0tC63d0wK0X7SO+VYW+kA9ceCTbHHWJwY9MmtdcqINL+MheLZcSiwx29TCoJ/
cSgX6bd6WXuTgs5SKgifBqTNGJHYf1Ek48q+nczlyeeZ1oiVFo4822yc84J+YVU/cmd4udy05KXM
6moMt1LXavkAiU1dk8DFi6Cxl1b7xKzZkGW5Xh0dc6aQEkLc30cU7jPqv6a65BDb7On7ETxulT23
3q16riIINqHPwNvmb+gGLEUqf8lWf8VJc54w21tiMTTtXoMA1pzjwNda8it9vkk+0e+9Y9M6+Xe4
0YvsOhxQmStwaMD6B8s6mwcUZKvvgeYtHsKlQQK4jhZ7xI2o9aLds8PI1dZmVokPiJwpN74OZHra
PDiy6nmPxbC8FF1r80TUaDGHlnZlwvFFOBAQIRaLB5V7vfkpJWSxCbzIyKovLk1SQGrUVldeXnBN
LYsQzrhh1KZPrdEiGWK7GXUvVohb5jNRC5IyoQpnpyU2tSwFTG8o1/7GzSOt3ZDqzCdhdk0PsnF5
5mA0jVOKfUl99rDSZ18dCkxwq+2JDJhNoeNl/lSw/sxYwvs0EmdhCdEFyWQldP0sNi2SChwDkQPS
1Uh/StQMlTKJvFNp6f6DM/Q0LGbjxh0iNQZYq/s7umLaJoPkQlBDLQOrB3cFpSpcW2FIjbxAzLAi
qYLAAtpLzl6ToxjPSbRptOQz9PNe0ucCDcmhpV40GzmO8aXYd7/E0QRWoT9pJezvrlyK/ZjhCRAd
lbc3MjP6PZeh+1VFVrgqjbb81OWC8PoW9HuWt+pKVG705FhDuSmWfllVEgPjNWH5hICz2Jrgs8PA
nTHp6Z3bXvoRfUaEACAeTWANF1DW8zszlZR5KTFuZ3jFK21QKihb9AYDAPdPQz4X5449AAMZ3fwq
jsz6CYJLfDPY+eXo6irdUUy0t83UqBWOB4j8BEbfRFLkd2NhywiwV1me+yxg6xwL3CHX/GzrWTbi
UUQsEnMcOenJYFW3LDr1Q+kUdUynGlypl+jV55gWFre2SCBU0USng4tQ4lQLZUE8Hop1BFL0W9Ii
88h7296bcxptx9w0T04kXXK9dYceHafGuFzL1hyODS2FnZc3UGLS3KrOXOQB28gxrmAz17sl4XVN
Nnn9kGYtTUhlDuKsnEJj2EzQzU4IoMIb1Hlip0kMYg4iuYBwhdnb0rQSJ+QbzZEJe9rrZTmdjRos
z7nLxg1WD0wlpt0HDeqtPTRWcTskw/yi63l6hEw6H2GlY4X7+Q7lnU6eLZFn6R4OabhxpvVhSwRs
zUZP0tG24aw7rFxNZ4lh2DLPlcpkpqEFwVuvFQP/rmspL+nPv8CH3eRS6eN/1LB9YgDfm4ybimZW
uuCEiUFq98gIcyx/FqugrbUeAdYDhEOmmV9cddl2vd0Jui6GNZTMbLVdIhDfbstIcIrdeHT8A4Vm
2uR2wsxUdyabnJ//uneKVm6v60LWE+zXubtYqd9eZ4gr0Uufg5YN95NJXW9ZNEraPCjNmLH++cVc
HD3cTgOfzXvjgcEkokXsQgEwE0BQVbF9JmkxBRp4vF/Igz/upElS9rhvjB6DA8W7nXQT+W4Nz1Qc
LDEZp7Jn7++MeItp+9Puc2HY//yn/cX1DA5CaJ59XRA4884vZhAKS/OpcA4zvvD772tgGdOZQN+F
ko5q48Tt/fk1P44RDzMFPxOxNSIu/d01q9JudNhb4gDViD7EqFkAxShz/AdXcQ3EzgJ44wdLTB6a
YxkmUhyiLm6h9SLacxHj/Qe/hQMlDWRK7oz7ZRr44cwmSOxqHI3f4oOMWQtIJQBbKFr9/Lf8xVNy
UIqhG+e0w3Hz3R3LoI0ldVI5BxNS1Q43L89kmEZXbaawM05drYb5F0e6j9MHc/ryktEysPi3dz+s
TIZwGnNhH7QqFA8GuW2HWR/YivR55W9Kb6JzKOTM5PXzn/rxxV68RVgX+bW++WFAIuYgiq12zEPW
83KFFdNUB+VsPafU135+qb/4iQwOXNLswemHvJ+rXHCwXKowD6qF6zYVRnWcCRV4zG0GTLac4Ihg
T35xX//q932PgNUdVIbvbSaDnpQW1V3jkNMdQZ2KHijXvXjHQeeXL9qrb+HtbIzXAI2tjWEDT8uH
Ny32Wg/lio48SyJFQ+LuUG109fy6Hub2VKU58u9wYpusRvZ1I3steRqaQYVbW5M2h4vKec4juplG
LC12ncgf4ksvE3X+i9vycYRTW7ZodTGbo6Uy383nZeKMyaSFjHCU2VaQhEn9mCqN5Qq8IkMNO+Wv
lqr3Fn7WEEwlvFWsjngnPzAqopx6ScgSc9BQjrWodi3OD51S3YvXGqxYcR0u4z1NjFPT583jMDhU
By3639eNNBvE3BH8sS27JIRek0FP/+fj86/uCTMlgAlMUvqHBpveIH0dPN76YvbYdOtoJIxIsw4y
t8pkNTY44X5+wQ9jUyw4GZtcOZMhivL57WTWJHLZ9E/zYbBRGUnEyXCLG3rFLKy/RHb81cWoGwFi
gorDcvDuYt5s+uAm/OmgqL1eYuT3z1H0ccpx9JpT0s9/2Yclh19GuxRQB7ABpjPz7S8rlqhtbA/T
AdUqB8so6RhZvIicEn9+IfOdDxxHG9PlsnY7/DiIGe8Gck5wkhK1O7KAt7G81DnDgTr3ZJfdhVoF
lLsGCNqCuLe98xiepOJE4loY0/NlGawadR0nGXUCbeSwFEgaVI/Qdtu9rglKWVS9EI3nS/VjBAsy
70Yzmi67EvXaP7SU8kOW9AyHgqkP6eLDTiQpJ692CykPpDF767Hsq2Mxxsku0qd/vOnhUowBmtIm
JT3r/fLWRbrZYf5rDy2mxDPPTPn9YC7pW5iKVNAS6MMvVpll9fphYrRZ1lyPdBH+iYrww1Mq58Iy
mtaxD6JR9lchzOFArLV//1oQEa6kqtPMuXNXYa/4xUtmvh8iuAtNYQlhcWU656wBbwejnYddYo9J
ejAMKkkzHj6PLuuOMGrkyAFBH97vwsgyRFSVJKoIRRBvoAXMem92E3YgcOLTtd4XVBHnbKnXYMhb
9vV9y7/PLuOoLRCA7Xo+/9LtMEXwSSM2bpDO2ZJdD7fmykHRd98uwyvXWAx2mLRIox/aqQY0KKS6
dEZFaUyGGXU/QrhY6JNmiNy1F41mduHoSyKjbmTF1Ui14dSKTtspzDOX1WRoxAah4FlRxS4xtaHR
188pS+tlIF2n91ex3QK/zGyonfBn53FdTQ39rXJODqOXLNkbudOT5GXEDbrHHsULWNZKH8bqeZHz
VbwzIJrx1hA8ZbyMrZdRFNdS3heEXksxdMLddTlMCDfJ8WnmCpoMJcqdT0JuvBdDxqGkbGb+dMbg
8X3zibGByoufL/saJHL1Y1zmSLSplidjkC3ydcgkrfKzs8jT1HVN1zK+tMheqs5hJg7dlbQkD8TE
HN1uKqOos+tq1lkv2r4zmi0tS3SpGGLP8R5U6KdrQ74oqfMrRit15q+WKGl9tQ0gysCF6h2u0Mjy
F/npzrMz8nVv6gU9Rphfap8P3E1kwzWuMeKYOviSNN+4PHUQKlfkFFEI94pJEO5thXwirbfQ+H0e
rfKsUWmv3Sh8y2gBs5lVy9dREzWrOLek+akcB6e7NhItlsAgMwqvHBerFnSmO9aBpiX22TC0gADX
eJK1YMalicvCZAp35ogRVJYDR1zTHRP33B6IkDmLlYYaslPGkJywVVDTQiUg553KOUJCD/WpMka9
rtpbo3TafOclDgMMfaIwT1rSsja87gOo2TP65ggUzz4GnhwfDJzi0zGkEOLhLZgq9Q09YnjpzQOS
v9cSHCwjvoy19D1t1FDPSRiTAC97iUXo+2slyFlghPLOjK6Ves8lXi5UzM5k3BrKiJM91V5q82Zn
M423wmEUwdHhYBTnDvfVlEvN3Epl//tEVMSwVQl1+O+tGcDtz6FjLRuJyGZv51Wu/VwY6VKJbSnP
o/Hn+KMMnQr86/LnEpbaXsbUrtxzx6UfscrAtafbyst0eSz8iNe0qDU6DTnYwfGM5APb2qa+GSVX
smz4IgawZATXuSmvSxyY6glVsaUNS+hIhnOg8ullOirH+Jim4GP6NkymryhYGbKp15j21WTUVIHj
ib0xcY/G6Basx7QB0NBAc13Gik03B+iv3VnuZzbmWUc3F1VebYHAHgg0I2J+LqjNa7mTHvJWUq2f
coqSWypos0dFgCRUSKq6otRGhbxbsmpmuqzjf6A7+/+xT4pe0mC1+/s+6U3Vd/H/Wj8jIMQl/Z2K
ePbyf/73H3/xj16pj/iMjSdwK9+ieimWg+0fvVJDJ5KdXSmwDtRkkBDZt/4ZfeD8xmkRYILFdovt
PHu+P1ul9F49JACctnwDKAp/6R9kZ7FSv13AdUzoAOboAIKwM3Uqxm/XUGqmZReGjXaEwjJccWym
cWC3zlmRz9nGZX5Z6/NgXlu5IB0EJs7GGCb/bKmar6OsGm8nlEJIMtAoGE3n7TNSKPF+8FYEZWVA
4BNlTNE5uo5qa29nMLFCe4lmssv7sc8u0UkiGh4jcgLJ4FthSVIkksMd8ws45ZDD0Tg06PpvurIh
aKc2aQ9ZETjbcZC3iMZQFLudvZ6IF37RNVRZnnWHsOCbVXcNFtz+avKn7jqthLNrRsfGh5P2xXVC
nM2hwnRynFxCl1eqKbIdgXfJOs1LkPmjcM+KSCEqIR3qYLcwtWkp0lnIqkWjz+1kmWZLtRrhEK+p
Ndf4S1Rjxbggymk/662+0WsbMSyv/LneenvULte1brjEXPnGRZHRmg5VsU4VHPHIQ2aRxdm0ahov
3OKKKQIGTLXxKJaTCJ/hMSe9mPhUwLVw1Y9zh2nPdTQXZR6ZrGEVIh62wb0oM1LlXpVsmAJHknhF
Y+imccpmPU7xvQ/tjnK2I86U7Q6PpVGZq1g2/lonTCg81e1k6pu8ipPWDxotNvTjUOJ3uClb0jX7
TYJzSvuCeYWmw4o4Lm0mykKmiLTKStIedCqbDqPdETfcoRO6bqzSY8vl69pm9BpLEV4xNOOuMDl/
0tpUO5cuSblC8+V+UgWBVprb6R1SPLxPJC3M0hpWkEqcc1C5epAaKsk2WjZr2aobfGbTFFrcSZvo
l2lrrVAqYq9U0zpvLziNs+qSf4R33XVWfJB0EZUPqgTR5oZlJ9rHygyd63ZG1Q3pTFaJlpI631Vt
OmJqyopd2VQe7j+yf+lGbtntQMje2XPddtc+EQCTuBv1Xuo32jAhhNxofppD2jcjYB/mVqe8RTT8
KiPtR1cXI0eAutk2MsQ6YJAZ8rnyanUF7ZdA+SktG2IsicqAfqtFyPaoxIWB1kvp020dtPs4c5IM
ZZJbTOhqCnWRGTp5taXfvLBTWPZ70FyuqSdodcBM0pBoBU74PnTKrDhpKaSCAD+7/mkeRjGAQnbH
MOgR3JUrg67GYUqNeE/pUtsQaQxDbyQugFCn2CW1RGvV5yzJfeJ1G2E9NbFtrvOoiD418dR8wpfl
bTA114GISafe8QUQZunS2QBi0DcKh8c+mdD30ZYv79GWqX7lNgZucLIpZb7Cf9megSIPz9iihGec
krAuOrIjRzuiWbo2NPQCUMpLl0c+Z+jyHaubVgb5HECKZHfdD255SZhQtHMbexWDp/rkp0N0G+a1
OtZ5bTqrRovmx9dZ/n+EQ78QYnvIan62Hq6/5s/jc/v1x7Xw+9/5Yyl0nd90e6m+0nNgS7mE9vy5
FPJHpPywSH4PkTRZ7/5YCS3/N88SJiw9lslXIfZ/L4WWx9JKoBCFD4cyP0byf7IUAqh9uxRSxEI2
zmaSmgPdKsBpb5fCLEWRacx+s5/EFD90KYqTtaitsSfHATY1NmwUj3UzXeaVOY9BDrxI15lZylCv
t+lA0CvS5tl4CBNQ16uyzCCUkzj/VXVCW3t8eOCFuODzqLssKZTh4M+fXntIIBprtKE+R1dYJlAA
fChX3MRkH9IRvUm7scQ13s2nPHW6EZkzDgeX6cQOEMC0B8HOFxVvSN8TNvaqgzS/oj7VHhUxyStR
WBRBMEPtSERb9titqM/cOQnPKo3ZDBEprTWZPKVuoz0keaHdRk0JFakhmLxnS7ypWbrxdsn6E8kL
HmBLeTVA7KdYz48M+aVGjBTTnAh6JjlijbIDs3lUdsSkZN/q1krwQfpdRdrx3G0cnP9bs+nqbTNz
9Xgwr4SlwHy63UVXcTTsTfMKi/htOPQXRsipNVblDeQC41yNNS4wAu1xPMG2pxuOTa04t736gUge
M5iNTh2yKXpC8nsmmordumVdkRnw1ABIRK5Q3SjanI9ZXurr2orh4nF+IjgFkhge0oAheKvgjZOR
joQiFMtXaFbC4aORPVk7bIn6JyvTNFz0WUV32M/vCSCy7w1llTurzCF3RqEFvgAjEqJXDoJ68U3O
9SWbwHkfYu7t6O4/V7bR3tYEJa7iBOd8YNVAmTyzvsxHZx96M4pNpDOfpiFuH+zMuxUyqXaVol9B
PH10LsIMQxStFE5UAmRE7t3lBCCjHLDGu8gOEfAWFdQLVETFlemH/RdNb9oycBvduurM3DoVeIEx
Gpmx8hDCNfOG4vWNpRlImWjgxmuzsq5l3vlbqohkr1sxewzeHGxRQ8JxDTkxGnMcjJzka07xtWFQ
B8QqmQJTXHXeIKoTnpr+GKF7Rmjeas6dS5nmaBdCJ5qwI7Fm6pIA546ZIJTJqmprEJLariw16cdx
apzuDEups3KctJu+kWI4azsPrWn4bSKO/iI3W7ZaUWlnmxwZeAuZOArqIjVu/mei/3eo75TUPKqt
f3/y+ZzIL6gwkjcS0T/+1p8SUfGbR7wp/jpaT+4ym/73XO+bv8H3xFvDUsAk9ubY4/6mM5FzXuJP
oDr9wH23Off4FvBm6vjw0jkV/ZPJ/m1HwPYoxcIH001KzJRKKSK+nerh0ccZuabi+Fq8aAuDqotB
fX6eJooIryq8H27QL4Wd3y/IEQ/2NOsVfLR31Wwqheir6sI5ohb01sZAp2Mm/fNS5B7hBuSNnH5+
vbdNgT+ut3AFcSrhb3rfgfARrUofXcHRrWLxTNPHOFlpatzKRQT780u9LQG/XopHzbOmdYtV6j2I
iyjROOozwz5mxUhlyEXC5XQziimsFrRU59m/d7MUreUiOfv5pf/iV34/WkMsR57xHjdG5X6YdPga
R0kt74woZ9Y3wsdYpIbol30W421H4vWHMgI5JjPZeRzk3z1DVWHldVViH8dKcCG3bikdjqlOk2Xo
XMQSpZXW8YGzCKWqqY0H+WAbFbUeMkW1QDdL/xd9148/H62XJwSCa1dQ81+ezA89czbuYZ9HoX30
RqLUAp/m9o5yMv/4z65FTwGzKUOYgfNucxQR+JfHmPA56yOM6+lqvrhdoa57ICLfN9h/S/Vf7uO/
egrLfaauAcTQYb9H3/p9jwliaovdpLePQxh/kybnoN7EXf9Phw4XQa/xejFmqXcPU6cbCoEwt4+k
xKJHZntWrzxB7pQxZ5QUf36xd2DT7z/JMl2DfgXweYxKb58U+z5jmJEbHlny0LxyIq2ORqhRU6Wy
Vz96TeY824tQ5bUpOsWddQbH0Dr7xdf4OILhfjLtwZ1YAKDvB0xoGmYYigxuAzWHg4WvaolHAHpR
a5IR2pB+scmQbIrVNPe0bl5fXoeQmd2/0Tb+q9Fr2xal9uVJIwt6e0+y3BeqyGpe3iFU17qOf+e1
OWbX7a/6Yn91KfpEHuUtlhbExm8vhY6krVq3sY4JcuDr7+pRDJJM9fBdfqWXebu2MH1jOaAfDtYV
NdDH4QsDArJFUwOWolUzk5jb1o+lldN+HLHQL5i0X2m4lrrkD2/McskFZ4LRQfDqLG7St7+vzmZo
rzgrDvoia7E9cBCI1aW6RqaOdhgifYFMHZwNMVcIX9m6buDT44fSlqYDVrtmPy/t6dcZhOoSratp
Rsi8CmNo3JQkql/dJOd1if3XW76Q2DnSIXEjwNXigPf+tFV6oEMUsV104fViq8/QqapEaNvIkPBX
Kr2YVBRg1G4rlKxpPZGNwoddta2G6hiXHd8RVhBzb+igwp2tontRQATgb8Xz0jjBqBGv9TY1BnSy
I20DAqLs5yb2MBUsihGa8t3La5/URUHdriVtr7PRROHfEbZ59CLbghTBDVxNGeC+KMmRNiA19O/p
CmGSiP2wMfaGdPho6cbtuC78WGRB3iYhus4+AQKTlw3XWBRnQsbTJfU9XaeZh4kcUAX2AxlXjBDw
H/XjRL7SvNNgHovDqyRedlHRrsFD0KAhk6x7yVKkE24NA+xQGAkwGfwAl5rZ0ZaY6yxKnozJ55Eh
LhbEdI14ce9ftYNll4lnHPKM9tfezWT48kUa9bJCo8R4LqbM/AJywdwPDRxgGpAFUjm3CdwkoqTH
/EtFd8S2SYl3MgzcCA29ZLVAtkJY2JayuaMhJL7JNjHYWJZ8aWXnrbUKu0M3m9wf1N7utZTRfG8O
kFRr3+Y5kbruc3Zq5UtWRCYiKGqjm1mGiyh7WhIQsL8vivYJp8Cr4aZIaSa92jbsHjfC9xW1ZKWG
jEOGNbS0uE33WOk6MB6uy8i2Y2FPq4LkU/cQLxsTDfTHZdRAaNBTc+HbTEJtch0o3JroMeQpScOo
ySwdF4bIuJskvNaAQipvKoNhwbsd6mW+xDsAfUDaA+IVU5l8GYj5WbFpO9ZFUcW8f5UeLSTJRXES
awW9sMkp6FiF8KcwqkKzQSKTYcOE0WMxlgfshfdSD/lYr4N1RJyluqyNxe3SURFTW6x/bDq6Ehln
UEP1vJhdoiUD+JrO81A1zrOIOa5D71wkuLTd2pvIms09JHK6fSbdvqdyGMpbb06mi7whkrGRquJQ
p+WGR+CY3h6SvBrOIvLQ+RSye4KxnKt+rUuOwrBFlmO88GhG482bTgh2IWDacVWvisz3A/yaBKkC
vAmmcp7gD+rOBmNxTcy6PkH4Ykzi1KXZcNXV0itXadgXXysaXt+AjFdn6A77k/+qjZ4gP2EyypiZ
AmwMxYZsspabsAirRZ61Eg/FJL7AAjHWcpFl4/Ntoy2SP3dc+UDZ15RSUXBXfXWiGmiMQTnL+Cmy
YFq5VUdmKhFquwZB9BF7LgBeD6H7Y51Q26FWOQM4G6sDDAoScwFDzk9l3sDBxxOBhmTgMXqhAxky
G8unlEzibl0OS4NXh3u5bEaJjFJomtZtW2ibhj3gamDzsi084BFMTAjgKz287jOpnZFHU5+laFu2
MP2nryFom02sJRo9i6p4SECaBvmio8fZnOF7ksA8svaZdgfvBx4TuJNFHPRDa2yh7PFBnnayVawz
/VthVRGgRpDPWrgIxLsga0AjOCvcMkT5LE++Hs/Z6Xp701oE/4gUR7IVFhuAvTgC7MUb4C0ugXzx
C8yLc8BcPAR1JqC+D6Xc9qQUByjivuSurKDjJFhXfNCVUgPs3ed8Dyg9EGheLQr07+NzYTfjqo50
nqgbmek5lpnyUu96Ch+yY1Br6Fq651cdpgZSTK7kYlLZVKie0yM8YTbY4LVQHDDbdi9RqzMhVfNi
gEEdYGIOGPz7FmF9tPF65eibLKF0tKKopONXdUO69KajVY+hYavLXDUaTClU2x2Bux7wVydEVW7a
hHS/dtZ1Q4HTzpKOKQiDEhuzumK2VZyjwLGyhRPEZd8Otc2r3wME3tvKRnnuGFn9WNcM2yXpDi0J
xab80ayaiP1cTJqAYVVmxTsfy7p4Ih3Sq79N9WCv5OB2RN25ndyUqT1+LbyxAUieac5nyln+WRv7
cp8T4kfNTUUJOclGGv8uh+45Bd+zcewkioJwYvp4yElL1m4SOHnW3jNjwk3bFIptTv8kHsdmn2pi
3k5eWd/NflRgm6A4czc4bXEtovqbmc8PyrSNT1lndnvm1UWI67f9xu5r8wUJcPQyJ8l4E/UuT443
Pt00CC79lR25wDAHRFc0snLpHvAUkzahxpx+lhTM40GGYX/c4zLXj3ZTTRfYpaxrMauEWmiR9aR2
8xQw/lJPuMdMosqNMrr8QrWt/WlOwLHQPOivC1CPwcLo/2IPWg7xcrZ+r3wxIG+tZ3PlhGYiVpDi
kgDGULwa+3n0AXvnTBd+6KzTwrMP0zj8HtbaeDN2UXZl9L1+AWrFecpGkUVBm8fkPUO9wLM3WdHJ
t6fkosW+ddD8ERJFTJbGs5mM9bFwLTS8idMf6dVqeBE6WbQ7gylvC6mvx6tNwhSCH7xpJJfmpXUr
srreDyV9tTqJSeCZ+vmqI3Jh5Q/R+AhppSGpVko7OdDUV07gVToYMy8cvewklA7e1I97ueeUq52n
7lzd6Ulr+rRP+6IEmObq2b5n8JxGVvhvxtDIi76uh51iITyWqSzydY17ksxpg+MF0pxml9khgKGa
nYUGJt4driLMjJjK09CpGZd5+5ipzqJ9lzvnKjGZRi2Uax38qwESqVkAoiV+uzIvOneC+zf5jeFt
vNy1mRCN8Wtlij7c+qiHsNhH9pltA+mmnTzvZe8m1+g+mrvemOS9hxhjg+EpC2Ysf6sMq+rKBuOx
xCin7tqqRzcJDHwRL3rRsQ51S+E21IYkX9vcqsth5pxCz8ltA5CVySd4TupOb0ftAvYd+cCJ1Vhb
T7Nad1XWpUM/znXGoEI3A0eIsfsNJMLisrS6L3hK3ZdR4GLf6jX+iEDmBpiitMrddhWi+vqG671J
1i12uH7vdvU3J1bRJbolCpNzIrv/y955LMeNrN32Ve4LoAMm4aYAyleRRU9qgqCoFrxLeDz9v0C1
0ekbx/S8J+qIluiKhczP7L320RgnpB5Vxe41npJm9gTaQx8EiLxV8jHd6KoVdoEbUbNHWOqwHcWV
DZGhF51zyphJs0q1h9fYmiuwp9GS3qo2Ah0vJL/7tnTzHHIREJO7WDH4reUMkASw1RHU0vMUN1Mo
fnSw/yy9/svSy6Bbppv897PQx19LUMjtr7/+vPb67aN+n4Vqv1g0uOtIg4bnzzmo+guLeFzqRECi
1eTPP5de1i+Wg5KNIaiK1HYVefyu/zDEL6hCViwRaY7Oqg75O3NQYf916YXZHJG8y9ILUz7y7b9M
JuxZGgo+o/KgDBlHxg4MZZQOm1AZR6rNgtETqgxbH3FuzrNfYAIOtHbdhmBa2zcFFrjQDNtiwwaP
q5GQ3McpU7MNuThlEEUWmUCjBHsRWdMrg7GmCWaAZu9kY2sHvVZzv3d5CHFaE13NM9eXdXcAcxjt
zIQEZsvJGh75LPaXhUzCeaB9WheFlQeJDhZi3BQcPQ6MuxQOiagbdGeyLQ4UAcsW7u+2b207oDJQ
/SFNolsNfOu+nJP8UY8NzIpDK5BdIaSvXmOtb3b6oCxHjjwXcYtuWV/hstSxB5o3b0BeRNGlIpT5
KUN5dp7SRb3HxKgHZW7fDb3mXuAFNIFTRNGXPG6hLBrZsF9sLoEsaUI0MWRSYFkv92NC4Jg05ruq
ruyDLPVyayncmqi3tNtyPRHKLDCrKbsqTqggY9EzT5tHZ5ODrvH6rDEfpGqAAW+E6quLEGc3ndoD
UkBlH9KvY+WKlWPewlPN9AbUDOQR2lu1ujQWprINFnrkZePYP2pJLTY6cMlzxKZxJ2oNv2VjmHzW
drmrB729YO0PPSiVjwxrpo85661NO6YQkuysvVvQenrjbOVbq6+mQKmn+V4kqf21p4Svy/mLWiTt
TquNdA9XU9/RPYfPg5NUW7b+1jcGD9l86Wc9vYDBYzOKLAIP7dThJ18Tg5PYcShBpNw2FquiWYXX
jIGIwGWHFk/SJH51ZDl+j3AQbxe1JDq+AdS94bkBmjWPbX6e0/op7rX0CZrP/K6wKuVmW0z1olTZ
cILhiaMWFFZM8Uoaah05mNv1EK7fkhG9o1rlLZO76pKP2hPyy7rzFEM0e7ICsjs05srRge10yx3o
UtGgWPRqKBGENGhKYe97pU/mLTEFeJhd1CpcbP00HkGjbNNSh5KyTNLYAqZzfF1rqOyaSi/2c08U
ebmA9/N0+tzSh2DOxBDkuh6kDb1cqxUremAprmB6964J9ivuy+YiLf2dyZMdnhsjn+ITmt4XC1fp
fVGZu1BxNOXQJr0I9V3eGSm0o8EdS/djYSeZbKJwXlCITO217dmskoxnhMtZlD04vK5/MuvJuEoH
7HS/yTP7kRy2dENVqG2ivHSPY2XrhYcnM58DjKU1ql6lQImIfiXa14K+5UknBiCbAsDL0JSC0rIr
+1iSYNAqEMBSnc2qTVoNg/t62YZWWlqIf6NQfVvihtR5tVaim2a2C/uFkbHeyA1NoHZHAFsffgNP
2oIeWFyPEw4ZiFDERu2rB965ZuY5bkHd7UqhkQkw5Ew91M5Nv9oUpMreKQeV7rPKGfNUTt/DhPyE
H4R4aMVljAr3uZhBgmT4/ninqLMWHbS4o6Mom3G6lp0tvs3C6LKdHk7AEOy5sRGJKwmSmU6D1bYp
zYwvueQRjUQxYeKndQdGleEQST3KuWTH2ceI5McsQHdXnWcRJSmIW0jv1S1WO72y/BnFjtGdMnbE
alBVg+JF9mRHG5Uc9NtpsKatKZBhY8Vl1S1NXmPfAvL9mLNZPiFWa0nUrmSj+kvhjqA9DOtSugLM
b0L0BrEdYWBmueh8vTds9O56vCOdwdlVscyupZ6flwi+nic1szpPsRmfwrq2t9XYiRgmomOvDKKk
boK+pIrvUks/OrbcmQqSCJ5VtFVaZCUbGZHHu1XtRH1Arp5uLL1dNN8YSRy3lLK8seO+uncG27rp
rGZ4M+EOzPR87mk2HGSxjdSCbBLRrpPdAs5h6XPVK9pl/sC4/ZU7St4wfre2ox0CdRoSRFK62qgP
ZKiE2wlzwJMpovZOABbicijzQx7Z7S24eAVV1Kweh1INPxbdMq+YpYPWtqIDR2e4B8aqvma2lgRt
4TpvA3rgCtinXu9Ts5lO6AKWi2BI60XNBN18nNMvMX310USDcCOiadspJVkjnbqkfkdTjkBrMMSG
5IPlCmAq3cSZu2vztSFjQEHu6tDvVpHvzhwKE+qbNjIJaVm7j6jzbvEKm2kgJ905JQZHvIs1IkBm
UXojX/9hYtru6WuCS0Ri6RWS1OgPS5xtSH6IdhY/ANOybKAFHUXM0biIV8NoGLAMplu/D8wpLrTs
2q+MLaotezxjk2mhtrfaxnhZgcIb3a2iANF9tE2Tut7IsstvMnVsnnuew0sPlPhq4lI5E41Z+ktc
pueMCniHOnK4ySq4uaaeW/t8Gb40jkjODMLil7Dq1Zsw1Bj6pa1FJVAsuBZofXzM1+pNC1Gl8xOe
/KvJAG/n6pZ8J+3Fb1pw8oSHdHdwUwixEIVjHQq3deHXxctJQ7D5dWyjxqungoHAXEFOUKOXEJSg
r5WFSvFgEwOlzMaG+ah0EJsprxN6no2ARkvfkKgnQ2mR8nH7N+tMrg6EFovUozF9UvSeMSc9bYtn
BAupq4wVDdNkoZ8kDMxfXGcdfUU6vRIDINvy1MzSGCTz3DuLwY6wl0MX0KuY7/o6T51EzDgYlDJT
QSnJIuepQopkPxgydSKuPDhGUfzYWnOd3H0Wrf/U9/+lvkdGTW3978t7H9+JfP9W/Vzd//iY34p7
TdVRtWFmx9xFBttnFf+Hvtv9BUmZWP1feHFNm9r6d3239gvFioGnGpEj9ra1x/hN4G1Y0EUxizkW
yxHWzX+PLvq5l/1pzQI3AZErIgC8UgZQrr/ajwnSqIGhL8rJIe0pdbcsRJ25f5WDS8bBEeK5nTQe
3HsnTnd2S8drng03L8YNdx+CPLLGq5kYoqNwQyczLqWCxBx1msIgiMg02CiSCq+nJJ7CXYbjJEnO
ZjQOqLUX/m/Y78Nm4Ws9qeaAiitiMYJENgauXZgz8JLRsUlqINDJVwamy8WR1D7cUiT+wOVeo9sH
9Q24Ytj5ldXJen5IkYJpxOiKCGwd8TB97N4mSbcZO1fw2PCcKcin+5LzMO/lopDEhB028yOyTJzf
ssv/eWr+y1OjWZDV/tNjc8IO0X9k88+PzW8f9GdT/DNA7s+22HF/oVUkFlr/tFp/9r5/akE1obvI
m9dVJyIdBKR/PjUQfDEg86z9fVvEXx3N+HZVxAFrAjBCSUZ0f9lNY0yNpUPC3HHQQkopg3S2uxGI
9tYYETYmDU3aoH5NlXE61I2AIJtWjns/VEO3h4w47IyG2Dbosar632QLOj/jz7tevjVeEjREqm4x
hsXo9q+73onC18wwna583Lq6RXOp3jqLRY2bfta72lr5ftbAicQtFhmuhy+x9YvPWtkpS+2uRahH
CV1/1tNoB6Ob+bPKFnGrvRWkQ1F852shvgyWAjf0sz4vfhTrAn+iA5MzXALxo5bXflT2EM0o8+O1
4q9+VP+umTf3YDZpCoTdGgUIJXoFZ+0aKn1ON5N0H5sfPYU7OsYVDnn/5FZkFozA4OiZcgIyvH5M
m6/FXKj3IiRpwhvwPKbE4FGMkxtlQjQn8DHOj51R5cQWDTPBqWlPA0isWYC1ZNxyfDxD61V22Drl
sYlSbdf3RvuRqLG8dQtzCqy0PRGheawrq320y4QUHneaOQ/77hSG5G9MyqAEZKc3EvRMat00BDaS
nxFvFcJ+IN9CTr5XhPum4mADyNRWFY7SPH5FblHbntqb40WJKuWOM9GdfDue282YDNM5spcHgq/y
WzkTEUzILFp31lFatHUyRXxllpFCr49bb8JbhE+TqDDrXnWy+h65sQEh2Cmu5rDgYvENggQuqFBb
HDARc+8JZ9ztsjQbPCr6lvxqvDq4xWD84l3EWW3u8rwot7XdkXipSQuLKif7ZiltbY8Mdo2wchXP
WFQS0VQWTGLpAEk1kXXHq96ccNrKbWrn6jHSDPeIV8k54hnJiWIs1fy17rT2sbKx4jQjqiJG/0r9
wA5ruTGYW56NQbW/RXZsbUXYNZui4aeXOpEMRHIBy0qqzkJ7MIjtQptF+Yah4T3jbc+sRk4wmjPp
LewS7lV7GG9cXQwnc2xpTUXi7kQT55tOWRiHj4nBD8SSIe4K4ihV1gORZKoQ5NB4w+3IyGv2F4ZW
ryafxFcmINKh4/YbcMfaux6lMei4ef5VR9h7acg2CJxpkntRi2H0O8w3b60+L9IP7Zhx1mClMiDj
fWZc1dnEPw0VDmP2pW1LJ9IUto6vh5U8GDB3xkeRR4tntSSVmPhXyR5Q8o7sFqmdXGIyTPwTan4Y
bIgTXgET4QwPvCQ9ceTVE33IMn9IN2k7xJgYdROEthOKj2IUo+UlADkel7FekVWuy8u3NBiNaae2
RoW3RHeS9eki80l4UY75cTewPs8DndylOxugsLmzs8o6ZJ18cuNx+WoPC6kfYysOrgU4P7Fmt6AF
UKobTsLxbYhnR6IQt2baMRDjdGkJ1asPxnGcvaqV9peSaME+MBs5gQ9Dgz/cGEUtMAwvlMz0JDZu
6qGLi/Mqg1jZicNwqIg5IH+BQ4S82tDJb8kOgQkNz1u/bXMx3lkSkiEZATGUzrls81sosTVGfkoZ
b4R3ojB70cg+whVk3VgcB6ciZlHp9WFePBMY2tyT3NKRMpfrxiVsxuasNOAMAttoVPLE0urRrnQl
D7Q+EYFa8fcW71Ei37U5Pg6A3i5oqONroo/ZE1xbdusmuOeItIuAUTxLYzZwLoaWLPtAa6LgdRIJ
ews2ENYVHFCuvK57/NFnKure6waO7Y2tgrvyolpacgsRz/1VLiSNQVQZ3yInzv1h1oZ7rRua/VTV
AaBBhfg/9ux7Fc6j6gFlFqfYHdKtPQ7ywTSqBR+pZsV3KOD0l2ooknt7ngptjzoouoI7qWv4N13G
js+O2y8V/jW6KK3kdJBobDYhURrvmMcbEhSg9F46UvEqL9JGE6+bsQ5es7mLb+GtKowsh5Yvh71h
+M757t67DJa3jW21X0iQ50vgBWOkxNm8TWeDmIlMnzbNaDYbzobpkJL1/krkhMYfvOk453nIM9CM
mOqwJ3k9qhvfVQu99Gm77bMWkb1EcaeDHFdbrTm604ipAd5rf+oQTX7+2vaKE58KVSoIbgx+yEGz
NxCnPlAzjsHoQCDPkPY/Q5VkFV/b9tWlP+erFh96g37Wc83MuGXud6a35cgx83M0O+EH0PODa/cF
C0tl8iOtwN+h0hvXtUhvZtgHO1Ep4GSXZcIIzoMuvDFhKWf2K6Jd7/WAfC+dWBr+SBxV+ZKOWXMn
WW+fhInfcU0SKt+wjQ4fg5GDDUBdEsiimnZrXfI1Vz4BhY1p+GK2E46OlGHNZibI+txWw8DS0zFg
yDrN1HqmEduGr7WLLTb9rMwiGBlXGttZEigaTEuvPlsphPtNYzXZV9HZUbaZGf9NXiQYIQQpSLvF
63LEnp4T2+M7+PZ82dVZgmu9H1T5RmBZ9kwJx68rfldEOtwqqsjuZ9V6yKbQ3KVpEaE/Ixp08cs2
Ni6QAGBQ40jVb2G7iwMlVvVlrsJu2/VKEVSdyu8rBB0PCd9Iyy+G2RR8zmT4pmtltmF1JtZLVBYX
p2m1c8txxlPUzmToMCXFNpioes00uQt5g9h69o52+K1VNEQ+s2YInyiR+pgyW8ePOTqK8Axo/mgp
8nAsiaBsivsxVjuoPul8JywteZjyQTUC4mdZI0rSD9krtPeRO3JZm455ic0KkW/FI3ZO0OGZAcuJ
tvUBitKFmAU5Cji+hyBMZ/tjTKfmq+M29UCemOIebdGOa4Fp6nIDE9vdAIfvhCdHuRyclDGp5xJW
fWYTswivTvJe9yaInbhb03Q4N5BxyTzhHEl9STyQ6VOeyBc9pem5Y8hUiF3PpX/HU7ug3+E9EG7c
KreOgDa5CQgpKJt91vB6sqgP45CrlTAz7J2G8zBNGjDGxlaYbqTEWTky46CNXaPGCGzl6UXGcwZm
MbSLmxQ53zN76OZeM0b7SxM66a6yiFX0MiAsH+TAMCqv7KbcNa2cCl+JCgbxsbZwZRC53e+Sotau
OtON4ujUiQvHwK6/wycXxDKokXqoQfCpWIoZfLZGb6lA0D8HotaP8eg/w5D/xfjBmMJBGvvvpyGH
8lvyXr7/S1f342N+7+rEL7bLegV9OLhG46dtp+Ng7WAOYRlg17CDrBOPP4chNhxxvHI23RutJVrs
39s6+5dVGbx+GN3d5wjlb7jdoXX9tXkCYLrqyxnWQGb6/wTQvd7GycIiZw1ymwISJ/N3yiKOif7z
yAATxfExrydJ2yscKlmka2drPWmWz0NHW88fsrGGb3avFbdLOJVf3M+DKnKRYHp8VMFJwElWYDb+
UpiILNT1nJOfR146SOOyaLmz+NnnoYiHzNollvNgg2++l1M/3KrDe7GepawQs2c2l3iVP4/aZcgZ
CWdqPb1jzuIwJt2Ig1kx1kN6+jywjc/Du17P8VjJOKsMWazkKVIr144rOWTTeiOEudtfIo48g5I4
XERgShTGWL+Z4/vScFNUgU5q7BoEa/QR661ifF4wxudlA7/YMvAqcwfVBCG+cVwvN307q7Qn3FXY
GMcPygTury5BNIFXcD4l6/021ymY5RipJ84vyr6m3w59gXt4vRWn9X5cCMq7msZcudxguBeRdI72
Lp+S7MYxiulO5MayrecumLmAbXsk5hB4E3q0nmBJMVP7JfZV+7y5U+7wCdmGZ0yFc2VEV3PNpN2D
wVqQIMm23YhxNvbhwpqM8M6sPJody7UU4fvJ+awklrWoGOC6UF981hrJWnY4nxWIVOb8mRK2f2Cv
J+k3NSoW8sq112QtY7q1oKnX0qYsXeU8LrQBXYksqVpmrh8owSxUtP4lzzCG0xQUkpQT2ZzYdw7f
XelSRkXzWlJR58a3gyjzTQ3BJw3K0W3wbWv2cMkVWgXPXQu0Zi3VonZqzF2UFACs9HRsv6QpkXBr
sBeOcGi5EaZTt9T2DA+T+7jOjBfc6smdu5h8NbhV8kGrdYLT1xJS+6wm2cbEe8XoItTgVJv6WnaO
awHKKU34PHmGb0oZyaOxFqqjHG25tT7rV+4AatlxLWtXI9Loo2WulNeUyJlr/FkDD1y+Jcb7JfsQ
n1VyT+jQJlKXInDXIrpZy2l+j9nTqLXx1Z7S9tKuZbf9WYFrazEeh6UIFGuO4Cisxbqzlu1cOVTw
ylrME2YkLs0g+mpD/EvNHWUTB+6NBU85Q34tZYyfR7jUeHnYpqj10WXRw3+qUos6qBDuMKfWfQvs
Rc3PJdcoYky9VbplX4yMW8KBmMh7lGTGfGQllu6b0bpqTsoKSFDpGEYSAfiWLtUDT8+mnfr8jY0g
BvY8RH5r98Jt/azWK79ktvLQ92Zfgz/QOn+1ifpxmag3oi6mc2daMV1tCsqganO0p+iK3XDINg7M
eF/yvNyH7UQHmQxD/jSFo1Gcrb5T06udtEvuBqKmynsQS0vll5OEWpoYNBtlP/byWeTxeKdkzhpu
L43xYMjhiHnKulR1LXdFl+H4n9Z6ry/mO6AI+qFHh86y1IwOztzmd8g75D2SpskXWZpsQ6bHcEP4
RSJi8QivTDytiW8KFht90cUsXwnUSY+AF/hMhtIgvQqbjZvob0QnYflMlWOaUhoTQOyhcG/5NAyH
0dSK55jkn0PYysrXeFm2CGTa20QVb4h+o2BcUOIBDlIuKeu+Pa6oif2K+lJS2pOyF/JLnr/JFpXg
wmsYduopTfRu9jXmZ1u1jZ8mA4QjuXDPjj2D/3DqD8II8g2Kt3sVpQGprPlzZMhba0zTa9eUrwJ1
qqfPJ5uo7G2hVg9DwoyrmOzOH1Vis8m7HQK9zAdC83Cg7JkRrClRaysztA0JirF1gWffHqXRnro0
jLYEJw073RgEEps5w9ELjTWwMVUfZWSLhB+vXt5iassLvY7YWqPmoZsWJDf03VmNJCJYpS/vVRLJ
d6tAcCfmhXfTXC03swzTkPcPbgiG9PVdM9OgwRDHsA3DL7/LlGkkp1d+wy+oHrMk0k5sipsNFHCn
gGMyaesx2xBT6PD2ewQTHAWYP9ESTybR1EkLxdqK5hvS40NvHjT5tGQRvD5TtDe6m9yZUkEjb6Dk
kcPQ3hQyK3xZ5MXDkIfhnUmauyd63OomY73A4NfkhnRomW7E7/kUvset2tyBBBuv+uROp0S2CEfZ
jz+QH1iwVLWOLTgRf+p566SK+mK2MQlQCn/E6RT6KMvJ5s2ovqehvXcUl+VcP81bY17cbQ8T/Dtz
mPJmGUFaLf2ZtTaeedkTd8MZg86yS2xgZnHR3Js5qUDs+LOTYVeGj9gUQebUxh8iz3m23Iq63876
e96E+Y1bqfmVPFbTsxA8bBI8mYGmqVdqfkHQTioPxWIY1xyZV6D0c31rjtoXc5DWptGU7KFwGXiZ
na2/dJVoti24ODJ1KAtIVB9UNpjCLrdzAlGfJo/EYWTyJ7Yo7tFsx3lfOsl0sDquSHxO1gGZv6UF
/9TJ/0udrGuUsP+pTiZZqftLnfzbx/yxNQT9BD+TmnblYVOO/iELhMS0YjLWFYeqqbg6qch/L5TZ
J1IMQzC1kDn9YEn9joUSv2BlpooGg4ENyhLa35IFrmSPn7cMrC0pS9eFpoGcxvksyX+2ltZLlTG7
npEb1KS8kY9JhpwHSROwUINoa2+T91FuiYGIU8j3Rn2J9Fzxcxq4by0Mg8qzo0InfldFjHqIlwZx
MlAC62OhSdwUZA7yvBf1fK6aTOYvySIafByL+i01osn1tD6DFbPSquagUIbB2JFzXj3ZHQ/DAWTR
wETeSOR4kbVVbmKwfSVVbj5zxlvZZcX7+VofsruclbPKg8VwuXbwyqTlogfNLL+gbmDMzNrgIIZJ
nf05dQg2NxnUM9aKxNZ1QiAzjAPM2BdWnFxywI+HPu/tvSJ7eRiqguWnTMrpbmiUnZ4y0ql092Us
kUbi/umIB4mq9bual/RlMlvQPD3igZ70jNjVwNVxQEgNCgPqig54R46CzwNfajIXKXWkXxXGUH9h
c7lQwlqCV1ldeo1hY2IeiX5Hp1WPqXUaGa5/8IrMp6x105Cxr1UvB7IuWgXvt4ymbJNSJpIpYk31
Tjo1s3EMSyOQJJETfLa38ftoKgrEhZqdsDrkGJ2xTwlEBKHqt1k99PaJwxJb0eJrLTHE02bEPJ9i
bXEjZCjDQYNn5Q4nkO5pwlxn0uDUftIdbbsmn9EUb4Oha/i/CM7JG1eZvrHmqNPvNBrt9zlU9dG4
0dGCFcRVFKG2tThusU4AgLRfkTT3wsOwNZzJPc6OwB1xhtAtMa+Z8z49JILWBwoGKn6tkpvPIFly
WMfbds4HT02SlLfllFXBjEeOUB1NO1KiVZuIYnOLkyHbZYhqEEJO953VE+kWEqUdJK6MUd41XXR0
HGYivjB4tX2dodFeJYag2+TGDCRtUuV2cZf2vdLr/EPvGs3YullrYbVp6J06h7k1MKNUIpBqXe3Y
GvBbhBHlJLonqbZHYPclTsF7+kslzCsYqcQkFLmOvkRSqKcoFXiHMFnsmOWUgc2Xu9B81Ttt0aa7
suq0XTxmTnrLgMWmoXJg1WS6mp10LcJsM+rtEACZLg/DqJo3SUdoHjqkXJwhjS7HMlxUb0m5cLM+
fud7TLd0N9oWTzlZnC1iuF5YZ7p2on6mLPyCm8LdEucz7OoU/RJ5o+Wx1+z6CQLqjVna5t36zr4N
NYIXMauWG6vRLkj3Z0AnmOgcozbJw6h1yStQq98rDShVhX3yNQIKc5KNIG5kyPJ9mxOyOCdWxORw
yHaw51HPNnX7jUF7u6stSupIYEPA8Kufncx+XpAP4r3HsaiE1hm5pXmuE+rbNG3HF1RYYwwSaxpx
Lxj6G7oD5PY9wUSRN+YqdQQyy41WtsZ3xXbgl3e8GttsSbtD3+UfaLRdH0sn5Buu6Mb1ssESD1CB
UKrqWHw+hEM9ZKZEXXpVJs2vXVFhQ3Dbls9RKwfiaUhHAVLmNf2QH0bVqo604YXvpCi/CLyZtkYZ
OfvJJKiSlc3geL0Fq7IzMcJ6dt8lJw3HxyNUH7ylvD6P9Hl3vK1Ryunz2R2ZiptZ6O4VO65BxxiN
zYoVAaLnitz5NsHfu7q5k+yHsCq/Ib1zg1zF8OrVsCOtDRGfKgN27YDm8p4lmXOYjWHCATmbDyx4
ANtp46zv3d4I/bFbnhw1JRltMiObyWqT3KSwvz3UW8aXKo9Gr4h7hUmiJtJgUi3zjURYF5ZqvdxX
k5vg7JHjSxa3TEWNtLroeZ3hfLSnD5Rlw2bQje47uDvFZ8G4bCAntJBwdeNVBzN8u2iMBYfJWa5z
aUKMWTFKupT1Cak6ekJNYhxpG5k126pqo02L7+sdvo8MxISqMBUKNrh5jA3Sm3qFHUcXfZ+WSN2X
Q2m/kaqFo27hrbWBCZf7cTcPuG6ieAxKMgoPDhQbzwZtc0FQHa1GR2MrIk1/ihq3Br9gxsfKlfW1
0ZjzdjjOeGXdeP41mWX3YA7ku/pA2giuVWeap1hrCz+cyGvStEE/LHKeex9y7K9FwcJSmxh/MA+u
LhMOQx+7rTwTQDXe5bbCBD9zaWp1EzfgjIHoQHuUXWJVawJNb1LS5gf9EbhafbFrZ35QaZ/BQlmx
ey/cqdsPTjcdqilMhFeFAmVgnKi3cqizl8KtmpfIKeW1ZA7+XGdhcuoZF3kxWrUnTYoZ5lqV7mY5
zJtwhm6EOBpvoOCnhY3V6Wp3wHwz1AhT+ycs8qznE9GWgZKYBN6Y8AwbNVavuG4iY2M7YXUsifvs
/CIb5xOW0iLzE7kKvCth8Dp246uYoPeZA25NVlZD7KdNuBy1RLM+dD6/4ldhmVxxpI2+laruC+aj
dq+KhYveKVWwxwjzkq2VZNbZRqn4GNqDjMCDSAu+XOiw03PYpdJoym1bCzrpf4rj/6k4tqk+/1Nx
fB9X3379f4c2fy+//TxJRgC5fuBvFbKt/aLp6iebx0WJw8T4jwqZvyI7BsjC71mRf9THSPG4wMkx
dBAb/YuqjsxuTZiflfYa5f03hsjGJ5jiJ0kdA2+wdmj++B74vsha+FcFTiOjXhauW3HkcpKlc1w9
0Kl1iOjRmiMkNV/HYlgHdNSdaV+/5pGpHNTRvtFJTMv8AjVuULeiuHOHorzmLODMUGV4jMsERjFx
p8HSr+xxDeulmBWbdekE9a21b+p1mKBPGiTnUb6Ts3axxvxCitou7Oow6KTp+j2ITy8fCH4dZPK9
V/vkpoDF5zcY/FZWJw+u4hCEZupwRdXlVLnq1dJaA4n8+L7mvHpmJjezmFcgZvK9zRloFSQJb8jM
ubGNaTcmdu3XUfndzcrLyDgwnNgGi6TfCnDTXKxX1kUnNeJfyVRhfpy8zzX8t6pZPswuO5Iu+VHZ
1mszt9sqJ01JFrHxEjZin0jH8kYVOkXVhgtTWedG64xX1MrvNh7frboqPmR2WV+BrsAkL7L8e7r6
FltqrK2Rz1VgFCPzFqQl3jAOj5Ex3jvlZPmQ5KODzN0P0qTdHRLefcRYGl8LudNrqJ4ytrwwyLWE
mRz1uNf9KZserXi+H2vxGhvZMZryd9mk79ViIlRnh8/EmSEyPxB7vu9VN18FbM3tbHSIbeoG/152
XBBqUHDFCHkRk1DU80LpMbKsEOe7B4833iQZVkp2DaSz1Mm8iZT1tYyLdyyRLOxWiWQ3VrO/fq1a
8A/wUV7HVr12+rgjje+kORHrtEE91Xal+KzOvxsoJzemllyybDphSzD38Kot6G38hJWYn5ewC728
s3KqXEMJkMCMiCqcNIhdsZwltOlqXp6lwLMUm9NjoZrBNJfY6GPZBWHFgmggvIlEyg+nWk4D0Gw/
jWVykzX2azKpX4G93roj9HnmU9sZE/Fi9nLfTMPj0pj7hFKQN6qxx3ock0jpMNDshs7r++VkVXO8
GUd+n+TaGEfX5p2AuLvzGsJMvLpVn8tI+3CNsWPMJvF2U0czCn9sZP8opvx7wSbGp8CioSqmRyPU
YtaPoAZJ5OZet5TYB+Sf+J+vu1ZaN8x+X6umTLd01jc1yJIte5VHVuydF0/ItUfDYp4v5z3uczYt
GpltukJ0XKi4vp3GcyCVcLgz8GgyIyWkbm6E6WONHfaNPQ/HpjKHQ1tYzmEaFOU2i+d80yx1cUs0
+rxV43w4FjHWFTQmxgd6qS9on6yzhogl4l1TJY0ImM/VaQCWxQjsbBnfQ7uiEIlqJPSYOJrymTiy
/2PvTLrjNrJt/VfuenN4oW8Gb4JENkySyVYUpQkWRZvo+wgEgF//PqTsVxLlkq7vnVYNXG5EIoEE
AifO2fvbT9WkuTJa7CHIwsokIzGNT3ZdfO4tDLLFRA8TGync5CxqxdxvOygB0PRd183DbOrZ4TQC
TKTXnUotva0b3tS8mJ8azUiYgjnOdpTOy1TP/WtN5iRPZZ5uIaiE9ElzpEWBu6uySkYmA/xbQ7CB
TWpu/yU3XxsDPMTQVQjkcOC5k2ns6JrxvdGNRM/BbdjFBqNcgHA3tu7J/WRy082F9+xp7kmanbqI
x/5NU/2l7RbHb146t1/X659E7bKKrwpTn3EjMG0Up++YOVnu2hLZRXPARV6EluzEGvl+YshDuLjh
fvXP/lumFdPNb/sp56Oh6tbRYOPo9N/TbgJbydqdvfqQ8KhHtVEcITGmbGFY0H9+Xu9YQOuR1qYN
fiSdrOUfsErK8yYrj9vmYIriJYhZDdflOKeM31gwFZoL/k7f/fyYP2hS12OuDgaL6Of1/79/IyZW
jZqMDuphFk66dYbxsZl4sPHKHZTGDHA9XxAil7g00l+crvWDgXU9Ng1c9qEGDaH3And29WrJwRkc
cN4Tpdow7ZtjF1j4QIu/yYuDHkyvapjGXaHoG+XjwHNLzyBEvvCasulK6uVSJmsyluUcggDSWC5p
DvnqUuFcBwpGHwuPPO68/Bpb2q5yxvupSp50JwUDMdkn6dP6mpom2DsOWX0J/bkNwa7z127rP7mF
iBTCjkyjVkdL8k6TbJZZUDWmXR9SkyjORr/Vg+W2WoC9/vzLPMemfF/fYKGl+Qcc27e5ld4pjJE+
+hP/kXs1KAnow1o/GxmWupJFuMawFA1+cS1QPd2V40wuil4Rqck71F6St25kXV5LlbyggKBZdJlo
bN8DJR/JmTwxXdqnPss9HNhqkyQriWUyp+fEMec9FKCWecvMxkPvCV4opqep57Uvzcw+iswHHOKC
UrLr7A3LDPGPBdCffvKb/aTlb3GzPPmJ3C1i4OUNbT6dnUPKFG2TVMwkLJDQhaehAZPLLTY90kNN
fnfga5/7FWXiGdRYP7+Q613/w3WkU4yHg/TKHxLYCJBpOluz6sOijHM5MbGyOa0J1EhZh58fi0L5
h2MBQrb5tjwUGO9xdj3Tfa+05/rgFOO9PWTHqvnVgnl+kt6dj4dWAVUFfyVYcf0M3+AGs7QrRKnr
9aEJxnY3ZJO5IabydV3ps8WaseXFx8K0SccxTyoO0q1Xl0dtij8Oef7Fd2kUmNXYYxnJrQM5Fbxk
A1andq6uDSN5W1zFvhAEzaG03GVlfasQxe5wVWbudvTbD77gX7uDn1yA45g3hMqAUzEszFWoqXZm
D1TLCjpzz7BNhLqZvZGaWoRkTF+PU3EsnGSG9pZToBpkoqIH2NR1CrlRF/dNbaZb21p+FZz4N4s+
3wWeG+KR4GI65vcXDFKXwHVc1QcDMzZoFOI8MiGp4LWCc065AhnlVlTO/gksf0vyQU9DDl2JyLmX
kcZtNfqdOxWj3RKu0UQy1Z9V3lqoDT1CTUb3FEvP3cjYOaWBmSPkYCVqG9VEXj4/0Vh9XYaVrYyC
zaI6DDpOuNemfZHqTzOFWNjGabu3SrUPWnWfOK4M8577025Z+AYXKFCAni8CsxbsTWd5Ctp+vP75
jfs3DwnvjPV/yMTZvb27RngWvVKoEVe8X0eUOFPoKT6OrUtYF8kvvhHDeDfXWN+OPm9hljU61QAU
3i2iq27fot9XH3pzqLcG9L/Ij/NjzJsqwFdNG5ZbcpnZIKEEEiES7+csKa9d/A4hiG0UHHXQbhAc
MrN2wfdnsItCEr6+DIUBFcy/KYNqgA1HtT/VjRWB9npl9n0/lTOwmPVlzG2WWMVLrNYqVZkbOALX
nazJgmjMDeXqdhS5vxN8peft5WJPVkSoHxDqnva3Bo06b8nHaWMpwnIR6cUEVfC8CYrrqYmUKOis
SPWYCTaS/jqEXTq2es6iHnsCwpAk0Bq0xkeGibedlh3pTXah4ckIbTJsB/5Gq/g38bjekK0cd4bd
D9v1MRom59R46tFN1g0EbCKeJ4CZZUe1pMf59dQVfuS1/Olec57RK/CIYTq7CpzptRciUnLNsymz
64wIDxKmKMXt0n5mknCv8O1urMY5EFZ/1NAHLFXXhT1Rz6EQ5ZFN8b7CtRlmUDHDgafDVeIaJsvn
dFD1sTCc00irG3PAvFk3RtMCBlF1PRg/KvtS2M9mn/3qfez+zeNNreM4KzeeO0p/954kvjwn6sep
DoM3v9bDeI+K/0R9wcVDbI9epng5b7UbMj92IqDSOz/zdQppTA0q7HJ+rKusqBA1bvoiABLfW15U
ioSgJNOvt8QMzYfSGDQ2aEXVocjNtl1dJq/ADYPrtodTsSS8FyESBlc1a/mGCIeTqbHGQM5+Gi3K
Lb23kFjpmdxMiVgZC1TWCRtD3oep1fCFMCm48HI6zCMraG+K+95nSxrI8nqU8t52ZLZHMTpt0fRb
UacWVPTqMY8rzPoElK3+wFcXyvmub8W9x+6ADBj3NPISYZMpHy1inNZqXnh/vV//4777hfuOCa9N
FfzvZZrXL8Pw8goG6g8hhu9abF9/8s8Wmxv8xlucyAPuYYsiJeCF/qd11bN+o5ogsIg10uXNtc6H
/xpCr/huyNxAawj8QzDKbf/XENr4zVydsLq3EmpWX+s/abT9+HgZ4KvB0hmE5vLp3r0ZAmumtd1q
7cHPyre0SYK95jewtHxAsd9cnb/ZCv7dkdgt8QizgzEx8X7/ni5ru7aXyeBI5DqE4EA+t2s2HoJo
+bUp/A9qeIMkYCugfehRSPnrJ/mmhMIFEi89bqaDUOgWY6nfDCMWL7dbnv7xKZHEatq6w+F0jvX9
gUavNIKGfJvDPBRvRVm8xVr2lvP//5PDsE2AYATI9f13JHDZDzSJWrgz9IQCn0X7HOhdTKw3//xQ
LpN73Mw4qVFJfH9GSatXdpNyRmOMXHLSWePihhjAvs5/cVLrb/q+zmWDblLh8j2tptV3184bK1/D
CtUewOUVoSvn+zmZngxtfmpHtok/P631JfHDwXCzQl401+Trd6eloaHi2WyI0esYMXpsYg8kyMVh
o2Uv+trby2yGxwZYxP/J9aQOsgKPzOYfQpvdvpEmwQ/toe2y5kH27IicQCuetJy/+/k5rhfsh3N0
PJNVYVW7eO+KrkXmklC/qj1oEvBuBdh1C/Elfvj5Uf7mKSZq9V9HWUu/b54tKj86ObLkKMHkXJr9
9DRWFAdn8/j/7kjv1gtVVGkzkvdxSEs50wLIX5aGneWvHy9jvTLfXblgjWdjv6+TcYOw/l2JkUgV
M7kcioNwwV86GvwnMeWENFn2c5d5GvLcFkVfnpo7pw+cDfLXX7TJHP3H6wpkzPfPyDHUSO+bO6SL
OX7FJPjQjmYTtfraLqOhTzSkXc0IUfUmMgIopB2x7ge9pwbNS7SYVmfXx7FDq7QBDzRt/YlStG9q
9eql7P29HGk82ya2917xNtOIuEgWY7xuPdoFfbusCGdGkkRz8kdwNlVbvaAIlry0Dh7z8zs0mebH
wqOB7yBt/DxW44yziW537NE0b+Y62KucR6rwJpdG5izRLhYgoqKxg0IoRFpvJXTOrTC9+kFouX2k
n6Jeu5gXjSFcPrtLh2POQYIqfxgBPqMOaBiMlBi/AWxtMgR5CEqASlcxJ12MdJqbIGlvEnNpIuHY
tIEIDYWQZcgymMIOvvHejXuib/R42uYdAwytp4CudM7uXPBWAGU3nqhNHKWsb2mSIaKA67upPXzO
Im2ZYY9spI42TJp93i9Q5HVGK34F+Z/hE0zTUjc/JunoXE6JkX9O/KakViYSoBus9lPnVubHmHNv
2WUZkEorm1gzNx4hJ6QemTQoFQDChZNrwx3WSOp7Qv/pwMkaqjsiS8XnmEtzmeZde+PK/E03+E4l
uJ+PlZ+9TYOKH9ikN6gc1k8/gFaf6b0Xu77UQRw5ATaoWzRC0z2AR0iQBmcbj1W2HxM6OVQiUGug
XdXHLFmBP1Bos1NitcFN7jJuwkRonIwm5yLK0qkjU1O+H56fvHIgxAg1tn+VulwyQgg5TUng0mKn
QOu6NoF7bHJKiZcVn4OFUrTq2CXHyLYr6m3cUaBke7fcZ7Wpt9eGHNsgIuoVAiOY0ABG2ggltsaJ
QQtCr/srrcmWjz7RNI8TMWtvuCebI+c4b2vB4q3rpHrYOTwb6JfGo4VvKd84ve6w/bZJvMF8m47N
Tk6AqHt6VWEQrPGpIp4KJ5zMNsH4lrC/0nM3eELUwGNn6wvjHZu37IJMeC947mXolKpNn0StJeNe
+nX+EijMaaj8x2ucYwbMy2As92e+vuqD8XlBJLF3WnQtO6X1Zrajl+As2yWHsxfiCEU+5E4F+bbB
qrZZeLZgJZEDAHVq+DDCufyEIsm5PINzq6nhw/ZMKo8uNi08/oqUC6Pgm3DShNClxKyP2O5r8qzo
yBV9/oYzN7iit24d+SAEmSbVHGnzsIbAVm56SvDGbzHDB/scNTKGTd6+SMRRY/i9HzkA1x8w0CBL
SsHE/VG3gXMgYwu/DkBnjKWGfG6HGfYCDoge4Bo3wkJT4TyeG2IoJ50mdCDOJfHFyR9C9l6UDtMD
8XsH0YxfZDrTNatdcyvj1r3kbezdpZKCxqj5WLpRjtejQB+SFDznNt7CED1y8dFH3HJJi3lXwePG
f0jzacMIcigYPSHas0TJTc2qCHu/bOeolnlwY1HX7jqNp76QwBHGsaU/OeTzdulZ3Solxv15rNfa
nLdZ5S9YffwbX+UOYujBv7NGYZyaRBmPZMBaR1xDHI0F9bMMGKfq6xh0rDl9Z1h4jCq/C24ELYHX
QetL/MIDa05KstSd4dI8tnU8UA4L5YqsJslP8+6WbKJJ1fdzFGPZixHrSP8uRt10ZSjJSnYu9mTQ
d3vQ/TLKZzR2lSmbyFUcmqCm/pANPjAxw1CvKWxJoKV1iDEIDCPGsW2flTcWI+FdqixQe0PV3gzd
WtrDRr4sIdOzkncpSIDKgJTocXWyOICv70KOOK+6xKd/EgWSTR33QTiu94jDgPhUEAh+yp0p2Y0z
JnBPUcyAdxLOKU+c3YBuEpR7jw2frM89Xu8JNBa60mziCi2gGREtQY/lhas2km8Yf4hOYnzC2+Bx
ZChHv4PAxHiR1d0gWXu0hNVDBTz0xVhxzXFq7sigZp8ODe1kxab+JTBASIzrDKRo5I0P9g2goT7u
85RxAUnE2rXosxsrs8ZnDbnazTyl4jrOl4+ZbqmPaO3p4cwIyuzFcA4LfP9tnWKGbbU+vi2LT17X
V1FmpW+w8pINhqsPPM9P/agnB9NvtG2aVN1G6FZ7Y8+DibFzTlYU8BfNaSTeAV56BflvF1qWlk9d
zcoLGSt40ivfeMx0o202dGVn8HVrecMIut0BGjF2bP8U4ZaTt+G9DRd/Bjt7qBB69vs6DaCPpS0N
S/So6F/LksUsZ5/ZcYvkARkCiV5c1KoD1UfiI3ysol9zDsZuga3RWlkVWkkndDjOqqtQqZkfhsqs
jqqzqiNwAL3dAOrrjljNZIQHD9lvFANk89zLWZlTtfDyKelSunTb4ns6X5mKdNK3MUNkY5Ue8f4i
cKMTHY/+0R4l48jYlRbON7YDvXQhi/be2zCD5g79saj+aB2X7Igs8Wi0eS0K2Tmgw2VB+NrCUWdd
n32vmLONoMV1i8wfh3BuywCchp/kW9Gmvc1kSQI8Yu0ZPvvQUYEZTeWDyq2pDFvDpVdIfQ9JtV2n
xvUquMha/Yvty0OLSDAET4YpHzfDzlxHzSwc4x0NJu3asGi3RMLDDKjZDFB4Tk0rbPJhDiXu54PZ
SbGduvilSB3CfPEPbE298SOMuMZzJcwJ2x6WkHBKej0iulzSIsZhd+JxTV6T0jNQk67Np9KbAqpb
TbvIJkf3d2i7Wd9sl+XbTqhO2LCBwFF2UEKi44QPBSIUFI6zM/4ia8r6oRhdC+KVnOXiC6V18W67
1E5Zo/m2LA5pVdlHjDTVW2OBdAmVQBVR0SGjtML3xmUjzFGcVrJFaDBFv2nRVaMwq154cdVH3+z8
aIZ1Gg5ZC0i+nKVzSX4FbbQ+768KF+kBfjfQjYLuOnYinkFrYqe0tdEoP1hMeV+QZa9kT/6y9zUA
QVADWW7jeSqfVt3x5/MaWNd64G/UUtBc+/ku5Nwaf7c50GnF4AjAzWoZSP6/2/AMy5LYctDLQ0cx
QXS8gs+QSHxgfk/NJCizTzNwXyQnBInvi4B2KIufcyksAJOhEfxq3/yDuRZnAtMuWEg0jOg9vN83
JyZwBF4nB/LUnkBYX/YF7xeo3S91Ke8BjBq7n1+BHzbq3AyovDgSBn7aTu92R4M9OlWi2pLgEgrS
OmZoYdQw/RnsNJeaPTcXPz+e8Xd3n45Xmbgxhs7W++lB3VPsoUQoWVw7iKGsmA1e0npso5wbS2jI
TIqBe42gU0XSD69g1UA12qcmUpjUYDgTF6WDhKiDyD781RD9t92lH/bZ8K9wNdOQ5gnhury7HmJ2
ldtmRoZcd872DsShS4T/v3oGf+hYcBQaFaaLy9tk6P7uEZSZHGO3brKDa1O5ugmrRt26jOFMLNCh
WzQkseRU7lAtx+effwHmj/vh1Vi+9n8CRnv0kL+/5WejsMe+VOkBakISH0q7Ca40TJWfK0ldOjTK
mW8CzQmeaoRORTB3b1rrqC1qXifZiIaB37rYoe/pSulb20S01HI4eA8Uv8EVuSHD70hSYnGhxQO7
xvOn/0+/+hf9agbS3EP/vl29aUCov4rsVYpvm9Vff+xfclAm6UDZPO7slbJIz+VfvWqm6yyDgAXY
MmLu/7ZXTcebFrULi4Cn9ttetQ5HHdmIT5MbrYwf/DPD1Hlx+24x9lChIFj92hcnYu37OxP9Atlc
TTYSpZ0YkZlm5TZd6mDjCPGMKemLT+Jc2DZE4NaSt2mRu0C9prk4+kSGbHThP/qjXxyxDhXX+E6v
Rt9G/s/gBNgx7Fsdu7SXjwGeVhsOi6yXnW1VetQlPIMpFf6uDTSkba5EmhaYdy3gxEjHIh3mtl9s
jc6D58K4k5pVH0lTrzmm3ulRXgzP8M4fpZM1YdcygnSd/IurtXpUVvzxwljGTTN6/UU79s+Gn7ab
xRmtMF8cbVvF3hPi+/vcMr6MeA74WdSuDWrIRNBEaMhrgH5/Z6ANCs2a83HbSWz1vnt2jTwIRe8B
rdU4vTpZNRsVubyjBhEdF0JCgO42xn5EvyPmOUV6suTFm4lPNXRdLmXj90Okd/xSSHX0CorkA6fA
ZdD9C6DjQxT3/CkwY4z4W5tKODaHEJd5c8gByCE8TcrI7Vz+a2HfkXkututPsp/y2TRLkpxNly3L
zCVoS4vcYmEsd0lT3gXYirblwCHBdzmXjk0JUSuLXWPHB7JagLT6knzAjcU+yaPFEzT120yc/KGz
1p1HPBeYvmYsXgFFVlxq8JLh4PFqFdtzhvCg5/SamBnvbMEeo9FHEx1tMDzGKAKuOtJgNq1WgkEg
VIehOVfPWim4yvEuQHw/nm8SAieobmwAeK3HfWDMFgQYn+aDHjwq3xg3DH9H+k7O3Uh6yCbJC/vC
0nrooLkcoiappqMXCHM7tutdJPizDGpO2WAUUdcM5tZbw6zdGN75YnJjyRKKA0nVJ+7ntykoVm0N
H71U2RfWcL77hX8iTmQKR0OrGVH7mGTHhp+puEqD0bLLxTJ+rXdDsOmH/vn8fVe4EcKx5LYSivPF
aRiEXoBHuOmgi0rXL4/0n954yLmrYYdCJ+Lu9D1ulWZ9FthFzB/KlH/E7fSFqoXvfwqQRYMuOkku
l2d7j+AeYId2PCfgJOIjZuflOvV4OhCfPnvUjRuEkfSmJDeTz9N4vhjERAFj1vijbVF9qRqFVVD3
umNpDs6WULR2UxZDfKQFadxXQ95uTLx6oeqRY1rrG2epTDbBRaNHVW9zSXX8ZCpJh0t/QJyRQL68
sro423Skp20LIGQYV6yrTLGfouLgLqv5j5Oqi2vf5EGFv6AzOsbZhzW73Oo8J2DAs7sxdU7nx8vK
l+WgG9LcTniCcBsSUN1ISG7s3gdC0gLUzale7yfdKrajsT6Ghc/eb/1uNbSnhLDVVy4pjSwh3ALI
O4ONpbg257t8QZm6axhG7+nCwY6qymAHP7OMlEYk9vkGWO9wHvG7zF5Iyp5ZxoKR59vGOnc4f81C
kjgjem6jCSX9dsyN+KXNHO3gpJzqonEsyOLEG7B5A/+Vfclm/kYZBX4hPh/zNtYVjae5osm6MWsj
Puq9rDF+6NPJmZw9zZMvWgJSVvMIU48LtkKlxxMhF107JA7PKbpu42r2sLh5LjdZXVn1lYakdrPU
LF9eXgG+YnEw4Apmk00KTzmgpJ/4ZYYaN/ZguXRuoUT1vTMgWB76C4VYKfJwdEVTVukHvSGoSSuR
S3uJweKm+Oo0DzV6LM27FP7NfjGABraCxaS1x3HjdJx2PPIRlMQLxiPSHODb8hdCvb6uTWYwmdvz
Qztm7ghWifR2Q6S3pDnpUe/Yd3A2Zxq8mo+RvFlfO/Ss525CvuVmfH9NqUdppxMv79rsBunEA/3l
0pCEtjlfa0g6RVQAbriVBt+rXbuQxCcBYsN3WAKhlYVeqcW3pgHxwW26cu/H3Rs5gqFXSfiEMXgq
mCTTEbphtjP6/tXXNWdbr+Ji2FJP1So3LtAda0qeoJ+DIlF+cpyziT2dVgJwiRjA6VuzUAAh6q9K
53L5XDglDEOGarbL2HHdpC5Ln38xc2IojDZnFEIP+NFJihK1omrz6zkZ5DFT9IiBncCDgAlBmNQ2
1zt2ik0mbsHwu4CAXIxlHuDA886+EPp2Ou/3aSSz93c7Ih9Q3rxooml+Jxjx1c50OimJNRVv6N61
BdOYtiwEBkFoOIi6b3ZBVUwBXmGtI7cvZ6Nd4ffUooRXUWQafnwdsEeAQG/VajixS/S9C8j8Q3UQ
wBu055kMxk2KPrW8imFvibAnnww3B3yI7OSMrolnwKxj7b6WlA+p5z5+U4rdfq1gvpVJ/1Dte0hv
6LYzoCSPJvhhNo6Yb7GbnpSjbJ73/ZK+EfDlswT5j7Kn1HdARsMR407/+XF/2Nutx0UpvXrdde+r
CeebaV5AmCRK+lYeDHVe7HgGraz4Hc9YEU7tP55jr0dD1uiabCXZkL+r3haVaHa21PJQztwgayUQ
FLGGGwMr6382Af8tW5iFzuSbWyB6ES//BSU6E/Pppfrj//6f0x/qv45/9MMf87ebAPoa64/9tQuw
fkMj6Ho4r9C4r/Gx/9oFOL+hxCLk0SSD3Fo9Xv9fsGKARkB2sW6M2a9aa+n+F17MRwGzzqT5L+eg
pX8kWIFk9m5cixKM9sCqgUcYtt68328CKNV5bUinPwREgFibuqdynJOmLy4ZJTGSo/QdHxKH2qDR
s1ReAPEVd2mrjdWehPS52PT9WFYhO2deErGkmbQyUZBqJWil6RDiGBt04Kyo15MAT+kyaYqxiZFa
1Hhx/DiZtfPs1uNLacxkuZXV49jFzgOSwOVu4B3ctHACCZoosH+6ZQwccq2KMH4v11LZDiUUHIT7
weW5Fq3Qn4PCyFErazBw6loVx6GnUkFhT6XPnDZULo5UIPHTiZ4aaBPNMO5j5mzbatCCt8HsWbKh
O9HnGNGpk4CYM5ixp6J9sUbegIui3MO2wst2vVDFQkuu99IvfP8Ysph16yH2sv4CP9ri79kSBs0m
r+TFUuT2xrMkPziA/TWB7LRYUci2qIKPY74QnFiXvv7sVWK5dluqDcdcCw19WtDd8GJGJsDRDV8p
Uu60GSkzRYPKGkuGqQh6BzMbcRChGqzlQPICPFdGctonKS3ngTSTCu6ntIyr3h8Cfa8co3yaC6qJ
aEyk8dyjHiG9jlqKkMYqnW78ttTellQFm4mq7kgaRvo7bzbMRMz79+fPN6yfiju7n0OEEf2FWQq+
jBqrPRsor1a7tZgBWk0B2fhwuRmUaNvBn9lMLqNMQ09k5lXiGxLfgxSEk14RYpSmh7g0iuXgDvit
dqnjMQa2Fots0DxeNIw8SMRZ2y/G3hZkfeWj3Angus8trix3Z7Szr4P5tJeDhD75HPhtcWR7AD2N
zLwNBncnoxnqOA8gAcqnXrPKh7Tt5+cOXvUVuUjBY76M/i5FlelGHWXksXZkchl3dvoxn9cNVDA7
l1rLl40uu3DDQjAfHRtO8ry7dBYkunsH2VqIHxxughtAhcYTvXxaAAvv2SAHMKxN6025lqJe6auq
CQ3Afmt6V54VuyDXRXoqymbrLOgZ253b0CVFtW6NfMP4IxuPDn1SDPdxFczX2aIKRKhFFi1Cj68r
t8oYECXK3xurgpNUSOuJtlGxr/xJI2AVV3UZTSKr/H1h6MMDlJ5nR5TyqnLgTvnTzGxg7Fb4gFy0
ZQva4LpKYohMg+G6uwy+/AaVWLuRcNSPOJJtwHjS74F2l83tgLr4btAs4mzmGch3ZhtHmdSwUYBR
byvCEckWcwVxLPZyTO1uRfGayiIjxrE+gOBggFLN1Plxz/ZITUx27QEABmFjGTcVLshdLcZpazbC
Jo+EiRPG0UHbd61FYqQV5DeTbxWXtaacW1AEbAXTkQAS3RsQZidVyWwMjJJ9VQZdJiPF3Ox5XLTs
OkbK/zr3ec7S31wQ0eVGSwtbrCaHA0K90TCWm3PLrTc6P/OyoN1HBZHTWD0kTdU9dIFOMJAajXQr
09FChFDUy4fJoQRccjhio9X2TPrb5klznXlvdh7zRGvG3I9auNW1LVnPBkxjNL80YWoGNbJ2DB5l
B1iWLBVbG9edLxUGqbt0WoaPAedvXeBjmPKLtmq8IXIXmHYyhv2tza5EZk/0JobD2lmDWzqJnjpl
tr5hk9iTFGqmj8x89GUzlQAazL7KLxFwYyjBfcvgNzddhsAuSbrM36c96TM1E6SKFjBcdTTJ5kUT
d96pQZ7yWBQQ2UNpkoQeqCm3OEQp6Lf4S3/b+8BPznsJ1P3LnelCTowG/EkEZLGy4MyI34KpwmYF
gYq6cjH0r09Ri2DmYYJG9dQrJLuuprOsIuQBEuzNvGH6xmXjl7A8M/UxbR4HZd4bDpuWBuTEFNXm
wCfBd7xcK11h70+VFtQnXtvzaWAPO5NGRVNroCN13fuG81Wx/5+e6S96pqt7jzrl3zdN9380fZK9
fFsr/fkzf9ZKvv4bwxYEkzwBWOJti8r+z46p7/xGEppNpYQ41PWMVVb2p7p3Hbj9VRyRT8ngjh3e
6iYEA/VPxLwMSN7XRmtnll/G1M62TSIsvq+NArOBUN/45cHyk0+KtyATYjg8VGfPteY+9KN2gNrQ
PfuV8Twr5iXS4808jUcxe/520TrzwlLVDFcgwBpuKOciQL+172e9jTytqzdiDHpwQqMbNUi1osYf
9CstKdvPOrCre82czf2iCRlhd1k2rZ/BKtTqVXDi3ef4n2/VkkWFL6rLmpkxvw2ChAXDcjtophnN
yu6Puug33VjdMEp3wlbY+EPK6aIfvOWOms5hrqq8Db5t+cggkcgZEKsXaYbYytaMOwCFzh4Q5kfX
Jr/PVKrce1WZXgs9My5z8v1oyMKzoEfbbx3N7W6h7G7trHwCVBdKQq7CuXNRh3jjS0OgIaqHUUW9
3U5fsjpILgtlL6EVQN4CI+DuQcDp2x7k9l7V84qiLhmLWtbvIp8gl0iQsXAx7LVD+WKOM+k7Amtk
UEAbypDj5Eud7RdRw5n0QLHSELuvumEnynmHFOAmXnmjUuumQ2sFmKlYDu8DPMnPYnTajw74eULm
7hZDVPcFNc5VVhL6AVPWIwIxxlfQw6tWOCwxBXd1VzzLpcnuCiulCQleEw1aTcnYJhDs2VLHD+zZ
mM0W80JUV0VxjR6jYzPcZqee4L7nODCH3xHWBk9TZRXQaBqpaEV4iMFGeAyDornZMQ+/w1hUhHVp
MaUqzdE5CMtvP3lZjoMKQGf5VBc1DV2yn/e6WRpYqBdmqaycCNgSve2vvM70ozazDC5eYEqD2I9V
72y2yCaGVee3NHp97LRFojXya3ogWQnNJjSaKqNx2KCG8y1jZyov/+wRNepGZ3mUY2bxU26WzQPB
7dV2qpDjGsUaOe5OuB0RLFwl05R/bls03GFgeFmyy8CC7SpkUltaTvgzHfQmFH4JhIfEnrZDRhTy
Au3zAG8KYZlDLErUk7f20ukW1SrEyi+99KwLzbJkvkkoEA9Jz1rek6VwywVEajbNaN1oSxuPY+Og
5BL8Ss+Us4z0Oplvsf2XT46knX3A78vJd3My3yM/5DNWjT7dF0SCMpFzXGoq8iK2rV/yCw1BPPGW
0Kh6O4/oByZRtZ9Snj8oyPgKGInQiounDPmnl0LcZGrPFJs2/+9Zx5zdAKL2hzP1020sm/bm/Mny
OG/93SgNfn2JfvUuWZMCMqdHf2nFqX9nT9yDtiaqN+pxmyq0lo9DDv2mcWfUqdl64szEkXlLR3zw
poo/SIFjXjgji0hE3PO81YMB0Y6y88/nOy13BEcjFBERnkH8xmU2ocwDFdXcKPK1U6Sbudw4S1c+
2WjyPsI0QDogKtu76x0EN00RT/c4TlFL9Ti6zER6NvpavlQpkc3SWuZbM2kR7kpVid/Ps/xab9wb
wCfzJSNK8x4+vn+vIHJuU+5ITGuBE38OzHXi7lTMOWvY1FipULH13lwXuzJJtYfz5HkhxOOhg1yE
r0dA41u/rUpVxAYlMyrHoYhrsTHE6G+anCs3M+6/MgCwxjTSV469m/DrpZoT1KbkeSyUTrgy/E9+
b88bs2uyzZAvp6GmWuvmW6kN7EIRAY1O8xnwH9UjNILAvzaFvNFVcpuOOrYkkR6qvH9zVHAZkOQT
ChgLtendT4O1s8Z0j670KekHEP765F+5Lr+wjR3G7Rr747nZ+Gbd3AveY+iarIYAxcxw7+02/zAY
uXFyR9bwAlFd5HotaQhebWPim0/ZFFC84mgGR2TV3gow0KYbYwKE7DcJm0rlw951m4JyNxjtLRC5
KvRaVOygdtuNQDeZIuI1fq8Ttgqd+f/YO48dubF2yz4RCzz0BBo9CO8zM9JIqQmRTvT20J6n70VV
Vbek+lu6NbizOylAKKUiI4I8/Mzea3/UBSQPbJbVMVGdXBdGLvamYb81ooXIad9ZPirBtO/MG8r4
4Fmj3ULb9zZ1UJtVIfNNRum6yCdwWFpuTqQvqGzW4hn9snIcdPqMN6A2Jeo97+2lQb4izr5IbqoW
JSOwGaAZ6dZMyKyy6Xm2ZeyIzVgjjEiGKUXWIh5JaTHYoxD9OU75XvcMczdwCK90r8N9XaSoV/3u
UIU4urSyfK51+HtYGfXTlOruoeHC3yYTAH67D551gbyMDcGiE9NXc6quVey5H7HhxjsLhdcX19EQ
h6fpA3SL5GWaNHPNvS7nKHZvqXcFLHLpt3O2nFUveqU4D8w+24WJMgkc8XQLP+bKQPdZ5/I9mtpg
rRfedBmjZqjWZtjHLQ5DA9JUoQimBd5enErhXDLO/DsuK3CATiBuTaDb6wFdcbnMu9mfVqTEOEqt
Z/VkVB/SZhnASmY/4ZnGJ169dFkJJpLufpWI/jOIdPZfJU9734CwDWvjTbf0Z+IHtvpUB48IqacF
aNsenSQNZIlS69xY9mMwFUAvuA1BrxThZy/hOQxlbtViFz+xcQzXFAneOy10f3XtWDymUz3XEARc
L6XlTIehDQabWh0sBcOc5DGZNeGgY/MPGbjJR8sk+OATZDSvT4MV0QggDhxr2EB0ORBda64ZIOsX
N0jKO+yLIyPnmsrKhJw3VI13qfpq+FIAJPsy4Im6OK1VLm0qrEVDQvGKvrrkJG/jzgVFbdcoV3KP
hF3cB6d+bFNYhkYgwINJwnUIfug2XliTqNl64VPrjNqNIxpvmZrGWPMlkuQZNKFGD5x0J9duLK6Y
gml7WduVsbAUuRvQlstLievsgKUyWAe1nbMAroMnOsz2OqQqTtZK1gX4EL/QLm3o2XsqhXQr9LJe
x2MWLJEpl9aaruVrwYbtRuRh+zhA3t9VkVt/chB8ImWbyCVXfrQcXEDwmlXFS7zU+zSnCoPapB30
kgOsosvelYEtl1XTJsQPTcGmjIXHr5XVWzwAr67MvIVsguEmpac6N0HRMMMvm21tEMbVEZBGaHFz
HstkY2naFm2Us4T7/5w0DSz1pOgzNnh1s1QiFYs4ktkmt3SEgU1qbVWpzmMcMW5Hd7kwOkD9NmC3
W8UwBtd3KXlyYTWehjq7r2Ec7mjVtWc2Xxf2+vIDxRUFiDO1G79yQnCOwK81RHKsDuJ4RSgit7hp
Gove04mss0syx6GtVoiGFlIf7CezGrdwoMIV86/7CRnQBQg2a2qPUI+pEFtniOUyEwQ092X4UY/T
1mx55PV1ma37OOnICxvHQ9wLiTdABnvWq6c4rMlvs+2VSzTIflLOeAwS5ODtKtGiVKwdU139lNNV
HN2ORV6/TkCVimqb5kMS3plOUq+4hVH9LHjDVs/6XNNCHglhTSZ86uvhhKdkyKZxP1L/qpNNqZJi
bs1Tez3JpF+NHnj7hQ1ZNoHT3HdIt3LgcAaYOAKs3qLUG3pr4ZiYypBg55/G3LrTdL8nyQExJ0q7
4R5niVqLSclLmIAgTHrbOre2+lzD1oEb6FxjH5d9otr2GvkF4HSSem9qt7JfJRyAZQLH8BWEanse
clfbxKL/wOFsrAfb6M8elNuV67nWwRrpfhZ2JG/9ITNOg+vU15BSZW0wEV7BA/sCcAAcCfu1l6GF
ahBrjYUIIQgOuUbGQJiAsUpriTC3Z4AVVB4wlKDKtmNrxVsUfA++1s6UL+uo5tksYsl3wpP7hVXn
JCgDKc9K6y1imQ3zPPYPU6iA7DKenkMG4Bm+6tbQvrupnZyGgQmL4UlrZxIcukemcK/3nU+mC7UM
aKm+TfdKBexulLKmkxU32l2V5epT1ujZWUb5Gw0o2UAlSlVibFoEFVMRoKkrorc6z3nqa3X+7vbO
fGbhW9l0TK82jdCbZ8oXZ22QmHRtA8i01EBXM07sGzNRoWRIlpkHKMv1yp0Ud1pXDE9EJHZH5lvF
SWXwJFihtdlNWtSk0yGTj16LWurhIgB9u8lFxKNARwmMAiH2SuqAzPfevVDn4OhDW5AcFnqfELBU
z8rMi1dFHCFTJzACSOgL1y8Y6g3FAzMwZo9CecegRO4uORjXnlD7eEJwUA00WdhI0kuMz+tZtIpd
Z+0SeGXPYApmaEO5QMXNJRRSlJAwGdH4xn77AAO6CYN1C7uKcS5p0nGrJhI0yIgnDlm23aKpZf8V
YX2+c8023jU1bsZRKz7SURFSMgGL7U15ShsirKqw8a5Orve3YdRWVzPxFbGJNdUtzrOFHZbeuglg
RyUwkQ/8Yo80fgFU+qjcaEnu7TNHC5s/pa3/M/X53dSHDNNfLsn25fDjyOfPH/hr5OPrfwgbReY8
7fluNeY7fzgWPiPHcNHJGs7sMf3bzP3N5y04VvBtz1bX/7cbsxj/sGmhynI8D6UlP/UvqImW+dP8
ZxbMYlt3DBO2uYFYzvxx/jPlbQtpNfYOep2PRy2RFTooI72Opp2+50WPcD9oLZeewg7DRToF6cU0
8+YZBIckwcGV2q0IXe7QqJr6W8tsg6dUkRtwrONxfIvaOAn3Zc2GZRkUnakta+ium04E/joYM/dp
stvhrmPywL4LiUpwiBIve+/7yT71OPGeIp7UBLZljZfzpBMGVp1ynKMFhj1cvHjf2322TiKzxiJV
+OBX2fQ577Rj2Uehu/sQvNUl8cf+Uwu37cryuFOrDmPP19YEXgv165xmHdX6VMTJswrM+sUKwv7T
SNG0NCYZfaUVr3iqhTYzhWZ0byuH6QXkPVMSIRCOZ+U2gGt8eqyvbq5pd2WRcGZjVg4vvWYEe9S4
IBdC6YmY9EPTOhlRkiZYyJTwF8z/oxcFtHGXOYFcU7tHz6jCaFpMj/WFdAEELPzcye4nEUU3RJHs
cYiU4S4esnBLveQdYA71W70cK3Ol8ty5z6MQEw3pi5kL5TwykBQJ2EosL4lPwU1Q+u+T0McKf0Tj
6ktod92RgAlcQUFaM19P5/RKAdLHINYRiMjoHxvOLxJAyMjg7K28Cwpunyld73bX3s3rXQhqc5dq
uiTeKMBf5Md5VoKdcqr7OhvaA9h+qLDGyIfjZ7RRGiPtGwFGXAflq5IbgitLHuW223+GujmxxUNi
d+Ssh0QYqRkLHYQk+5p0De0qpPBA6Fc0N0XUNct4RFQ3T/JrjG7A0UGLy/bAMnCmuEVjeOu11VfJ
v9Lt9FbVMQIZs/wKszwjXm5QGbBNElTfigZg7y4AC/4UdKwcerOo18pnJcL83elfYNeTVjQ0/aqs
CnvjExbpLhKzNjei9El0GmMx3IC4CpOnWmeI0N8pzYspvASzzXbrij6+DqiYbnPDn0T2zrdrDBZ6
wibmsx2tItLkSVcNnqKL7mBluISy9iF5lMZCWG3/PNiDQ7DLjDb2eA0qcOy86t6SY7geClPYy1YI
cD1BIeYGMQBtyR2KStNwD1NrpRuZpzm3t9ksp7KBE5oOC7cQ7H19lD5Sr3JkbSLYJFE6i7EQGdKD
88AKTYyYqTgarNrOpS4YBZXWlUf4jqWNfVKVBV9Rb9Dj6MUEkLHmc+/GEUB1T8DtqvAarkCrqPUL
3qbJWUnZmUuzCfxNTEF2MPIGNGtCsos5+sOpwwCGxyxPt7XdAdJhhVkfHVl3B1D++XUSICGwozn2
1kmK9qr58k5F3JgpgbYUC49C4xjIvPTda0prleDRXZRxIh80PPWXbMAZJQtEithlxD0SP04tLyf4
xZfAd3SHrBwUaOwFh9Bb9gadZd+ltxDen3wst5gIubG1Egp/G14dAN6MaESyDOh9lkms91hEaT52
pJrmyOWc+dMuhwdK+mil95O/d0tLrSFEYksxEuPqVIj8OJ6Q5lmNvXdtK1/PZvM54FF2Z5sAnHU9
JuNpym31ycwsi805/JqIZAakNhGhS13rPriu3R2rwclGDinJmeKWnB2L2A60N10RR8qdH6obHdz8
gn43uSU8OvtIQ5JvSmVZuw64/WkQmPOJqgrHTWCobtkWer5kOYe+IU7rS94xCHTZoB/TxnjRHcKS
8AD3mzHIAc34dYuyYJ4WmXwodwPJXOtAIZpdOmHGp22YCTcqa0n/LY4nHiKe2dMJxWM7LiNm/aeY
ovoGT/jw3uvIl/siVVtsUPpa9yoATJbbIfzy8s916Xm3URtWiCj4+j8nnr0x7E672ARN3Ii+i1dT
FuoPICQyrGJW++yK0Lp367G4Q5sakuFY65ussrpzr1pUxTq710VGZNqaNUvGoRvF3X1smeXBi6T5
YkouadOsIdQbdXHGUiqp1mxxw449ha1Ncy3zYboHued4i1wT8YVlB5E/pECdpJ2RSRDZybJPZLoq
LY8jMwtvhC+TXczI+FZLO9ejb/RcVhJmuGI8RAYboZvqoGdVtMnJorvERhY8RoViXZ1XNixSkiYY
Kmp9fDL6VO7o9mvKeDG+5iDMoIlW6sHsTWNZBYmLcy+LW8I2a/lYs0A8qSgYTmoo6dMyR0+43uro
Cl5M3Bthb7BESCpWKgh0l7Sp0aeqriRjGlBBkSxnEd582vNEH1+itM4gss4q4s4RRE8MZrpEha8Y
2XftAYzuXdvR3xH8ZQqk9nrt+PR0OGFEqn+e2P+AqxvdJv4Enm2ea7al0/EkSnVSE1QZ9caiMLt8
3QmnXqEpHRlUoxN591oQ7kE6ka/VxBzBEcREEjubAV5kNHXbQc8fhnGstzER4+yQSJ7lq8xWXVFk
d+YcUUcgAgt7rVrVThP/j5PkTynYb+pjFpmz8eP/vxU9x1hJZNn+UCT/9VN/70X9PywP6ZZtW9/w
LkCK/t6L+u43fhEFr6PP2CGH1/q7UPb/MKmqaUdtfKDYTViZ/rUntcw/LN9HjiZAgP0pSvsXhTIY
Ol7le+jHzDVH9kivb/ALsrz9SUVmIv/KW6vQj4WulVHdEfTkkKrAwGwXt2Ks1inVb0lQTV81m1ED
lbx2UA1/jNS5ZIWrmN6Se+I8Yir1cXXQEn8aFef6k8DeiVVAitfQM8LHfGS4F4eO/am3rPZc60Qq
qMHXAgRG1JyLEjP4OWQswsjZQcS6Bf2b7hiIFUc3QUwFbeMua1rzVRusAOS3rEcPW6jRkvDmW8Wj
mYInPElVK7IhMwf+G6E/ZveeqKmBiC15DDqoEfwESfwkh5VicrkyG52MBuRdz/jdB9bEXZ9r59SM
bbXA7exWm3QWHYWEeLPfYeqfrqssiB9FNGG8joZCEdeR9M6eNFz57jZlfe+w8NxLgu63xpi8E0Ez
rWEisqbQ65hFKruBbWLED1NqprdOwsB0x18xzxOW+nzVkjSEktdsmwVTXXPdCu1lTGcTjp7kw7z9
1ZCI++a69lFjE3fJhgSFSG2vFUbyq9Az+9zztF2LtnPFviOQHda38oMnlXvufeXawUPTToa3b4IW
HjeNkZ0dM2lJ8kxIbfvcD0201kzDXaaYYvkMIL7U3VgcHJJ8oYZz+haQBNkpE2LGLGyahmPbMR9F
Dl4B4SR27FoXIUrlbRCyEkyFA1WvgZ5ptMNuSgZFsow3EbBgBQDoPYSEO6vM0YEpkxg7JTX14GfQ
ReFtM1rcWTO0+wlWe1dQI7r4dNcd5uFRWw9thixsa3TJpMt9FNqEiedJxmz7JZSqCfnmCOS07Yyl
k7RYFVUWkZ/BQE0XADqBW7GPe3X1ogBRd0QMdpqWQzKv8sKFRSzzMkICBnKilZhLlIY6iNn9sM5U
0C/hwFZI2tyHdLRXuW3sw64525PHfopoTjcuL1at6mVnp1trzIMDIsoNYnb5qGnR3Yg7ZNHwMhsA
Dqxf+ulZ6IPauG4c0H9M93qWyH3dRBEY8To51blGJLFNtQvf0Dj4GsmQqRQSrQD6ptwa44PFEmEz
eCWRbNmk9nrNrWk4mfHoT8aXovWsZU07u0iiVltaaO82ZeG2PNBMktHJx35tSqb7TWyFx9qByahU
zj6/mrYlezFpVcD2Ffr9VKtXca4VmF00X8NMjmopjKIPNo+fQcYkCz+gMHNqnVWu1aQsXSxvWDHp
DU+FPRaYn6dqWyfqvo2JeRaMuNk32OjSmkTc8tsnx4QMrWYRjASkExbWfVQzxcKLyGF1udl2DPog
7CDmK0LV7nDmYO23Wdtn19SLTyQxAtvokCIZ6iF22m2pSyKvwfhjrNiT6mJAMkXAnvDph0609Hrr
Udb11pvGc2JoVJp2NwIWzLCEBEoS22E9MSmmwSUycyXy7COz9AZv2eDQpUTUVBrlUy3EEqkgLozW
5hCMvTMxmoS05jR4jD8JTcS8fKfTja9njDx+uX7g2qqkwC0XOVtDgvDUIr/beU32pshZwc+h+weH
4/LQNSZw9sBMIK62yQ4XabTirhB3bFfuqMDWmsebUmVxGT0reWHQSVZuF7gV2lqpHavKsK6xUTuH
smJJxxfWbKqx8iE5RJ91TfassMevUZuLXehKIAJxneFJ8KalrQX+AV+vuZYc63cMJnBWKMffp4l7
DZzmbuhbfcMx4R3LREOIIlOn/cS5Apq9d4N+UZltckmMrqcBS9utzhe1YXXSXezQjq7mOPrnZtSv
qtHalZXkzzI0YI36HUyKfFPMniu0lwgiColCuOB0YeYfdHqyScyUJESttF4Id72g4+DpwBgGkIy/
jZP2IYPSsjFYad8P6XCuNLYeo2iTR1dLHu0QaH2m9S9S+Z+d0Ngbne1wHXfVJs9oNSJj2Mih2ZdO
soVwC447qS3SS8N6i/ftrbAne203iuCX1nioApdlSp+COMiZNxztetAvkTCvnV+dMhk9OanBvCFT
a9Z5SG1ltQYq9IUNvVyaoPvT+SytNO/Wk+ZWUn5eR746RqQE+Cw5Rr0vKa6Rz5ntOStAndxqGktx
w+3PgBvWfY1CzzPajc0i+Ng4ibeoe3KoMNKU0TKdMo8k407to7LdtVVy6OMg3QJUxqnma9Ui7rUN
D7NsqQIfCz80hZy4hs56szS+r0UL9+AyKd26i3LmskyD6nPWQdwhgLZcV4kdvVaYeJYsSci5qnkm
DNmjsPod8/Sz37NaZbLrr42mve8neQEelr/1qC59b/qcuCmbG96PQ1BaukTRHR/7ydyLhjQwKwo8
LIKsky+jbZGpZpPFtepUJI52bBNaqpnsjbrQfA7KjvmxLtDgaE1bVGsv5WTqMVLdMv+iAyqbyFm2
PNeqeIAVX9JkCsEYgUy37mSERbCMDQMSXqfHi8DUHiMN21zfD+GqJEsWx9FlAHX4RAB1caOHFTlV
1pRZsAwI2euuSLmxbchUHcbefLRGvXrVUJWFuyAvunRjuwOzPzMTA7MIC5XxjucsutbWfyNi8FZE
OEVbNhtXaRe36DWYIKbaXT5F3Q00w0+yMZtNN5LeVSvnEyuP7IFY6oOhIWQXvD1E6Fn9heMV5D1a
/Jc534/NTtAwcNCMdYLgcutkiEE9dNSEHjHOiGX/7IchKgHd085hP6RPILiY8fXS++p0drjq5u2o
HZnZC9nc0z08G1TSnfdsprB1cy93n1yXQQapZ/oSBFXyUISFzrBPl1t0BpBUTMBkozXfRHxheKtG
M93UXsyB7PProafI13nyXjXp66Rr7tX3i/6TKXvkLl10AdplA2bhke0mlYDnETdWtFQV29tKb7Ij
AArctAhWqBGK8MzOZdemQUroq1utu84noSxH5cBxG3V32J+8WbFcf9KUvyMuZXzo8QtuhB8jAPdV
Gp+w/L6DEH7jdM42rHd8dpVB90hO3tFBTr6tfIhE9qDFawBNPCBi31m1xOUuI9vQi6VWJsalIHaZ
EaBdnxIh0QO1cjrl1uDvhlKMKzeq37IwF8tuzGJxW1U9DanXyXFtkl3uLZx2iLKtxT59Y+VWysNL
asVzzUb+GDqTvcmoBZ9m5tCEDj/zZuzKZDIJxf9cZLbzSrZ1tKhVG/qLgOxZTWQUDB2fuTFrghRa
OArgnnkK8vu4g7liGjcsRck1Xg5F0zGURlGeU3mAvIr7MFoSh5gP0bHpBneT5n14z0CwbcSZQmvJ
zPyJUMY9kvZ3yNSQ9CtXrfK2QtMYhM4+KJjpqdH2sekh5G/gciWziCEGV5GV7LRGq/vSo2JERlKR
61EF5srOwDA1dPpL4t13kVUQxBfMnHBPINxsDWsRNQmMGn1YB415SaLEfIwtp9lmleMd4ygvj2hP
cqBN/v2kItQsdXNFVGZtdfHaMbDZEHRcrpM8eBRhky+y2iBw0TJhrVXVStrQ4fskODTOVKzdOtup
gusuByCG/MYQy1LDlxhbhBpmY81xQlgiYVDoOGogiCqNvgxMRRwK/I3u8RHnfvUI7KVcw5mtEMHl
JDrAlkqEl69oVcA7tRrqd5KKeCZm5b5k4ugPubV1QvMtK7rHsprsG81Rdy0iKcple9qMA9Khhgyb
ypoAzld2c9YawiUapRlP2dDIRZvl+SNyOeb6RsKjbtIshO/EtiBrIinHxsCGTbE8pbl6BE03bkrc
Msu4DOL3tCHgd0ROqmKu8jFziOazcJuMXvDoiuwEFMu6NNacGFQXXyl+MehHEgOoKpeRxtxjtPqb
MZLRRmVd/tgQG7rKwOhtYDH6a8ui2DFqj4xTLcnOjOYYlACz3Pi6XV8cL3jVJbHOfjpCLBnS8a6e
WFP70hFEbbpUPQKsDPL8SzFO3QWS0DIv62GpkIEvIkufLvCdDhquqCVQLdTrfc9+wneHE0rW95J+
IxPas+Gpl7BymFRLjBItj2EjSTcYvPeBl/bofLVtxjLEY8+CFFY/IRyqdoTE3taxeSzGiOMxQjzE
oFDfVBXtbW80JgIEgrNLhP5mkhw9wTLDS/SDnnqPNllNOAfVy+h2b0EXvpYlsdxead517dktg8eS
ER2T5CL8ommorDor26PtU8vQdE/sPT57FSI90r62KQ/HhRF61SUIUBJohS5OllXdJQPVmSYTtC+d
Iu48ZU0MiawcKM+0286pe4Zv+ah4JKAjYd3RczToGoO3yfPkvuEK/jI10Yc5a0XNYCAu08Q+DE8J
MCERTPlzViZ5uY5jkV94ZKEBGUszo8ArQdgRJ1XcDS0xS72G1AZiYLpNYlayy8po9GhZgqt7NgYx
G8aZHDd2VT8OJJbsexwde6rqFApnVGyJUbU21aTC46B3zqZBIzk1KiT1xL/xvS65LWJNfLVj2R1V
FDuHyvSaHZG76QEs/rSx0Uc/WAV4KgbxL/TwyTktiGAPQh0/S9gve1mGJ3OEs9Vh3jsL3bEIQxrH
rUlUzCrp6ZZ619I2rY92u4lZxJtFse0L01qFxHvAa8QQzMolXDHbwLxk6jdoMjyMaIm5Jsg3QHDU
OnOc7auXdz5BSO6LG2Z8YhS1ZzINQf4n095uerVohv4i8pKyQkYuz2L/CzrXGMWXS4BMTrAt0JiC
MqhRrCj556UPD457JyQHiss1HzaWkRRMBgxAXmR1svzP9tSNezLI8dfhTN5wXNlrTnMiiXO7WGdY
rxLAQDRT3rVLNGtLK8zExRyT5z71fSppSwf8YUU8hQa6hcsk/WMhC8youN1WRuDai47MdA2i6Lxo
q4EwSh36ThbvZGqJZdNUCQ4qQm/atG4PsjS/1qo7Tz7Ev7m3MFR8QcocEKgV5rdJw9dY4rlC842B
PMtQgA+gKCCYtKu09rQjUlfChnODlUd+Dh33qfR8ifVQ1ISrcPnLcdwUQt+GA/MO7Gr0MnY0kQiN
dl7zOqxMcfuhyurOKdvzNPvzGtY0iuxHpgz0WYZZLHONWOihjXh7BDE7plzq0cipbOvBLiIAea3S
yqZoQc7GnUrMRYZyqWs5I23RrCgAX3s3eY1de+9Z9e0Iz28fy8lY0UIeOaKfgKAUiN3HNa0WV7KY
XGT9gPe5G/SLEp2x9caBMYrioWu15r6pxBWW4d5Dw8T2Il3WNfBHGh1VfKotjbHJMAzeBnH4A2fn
1UDxzDvCEpk6A52XN8DfpR1sNVI8VLXomAisRBAPh4iF8sK2ilcEIf5dEmp8kZ69rQfUo85oqkdP
WLeuQg01VsJAwqFvWmm7C6tp2K1RKGsrB+UaMh43eciD6MMT9UUq45h6zospjE2VvbQi33at97Xp
AfbpHhlwhVDJUub+qk4Ksq8JEoM79bVq5yBZLf0S1Vq0rqG+LWcgZMoalqEKwReuSnwWuAWzgEgQ
Ysyp9YUgpdsm4oAmEaxxxmUF3/yGbY1x0KjpK6BKmbEYeppyJL8Nf4kneQU9DwF5Va8LORbNKmrd
xVA7xwqNFyhUQjvZr3cja/ENU5zwwCPLXqBrd9k4iqnuYKyqZmuBLWTX5FjNPs7q4NbjVGNfJ0Vj
55TGdeQtRiry9kGDRyc3OQiNadNo6dAsTRExanPoESaOD6MDd2r5ombiz2dkI4ojyFGb9FMHRYD8
jtFNW2AOvmRi8d+jZ8HTM3uh5f+ahTJvFBecc1H7v3/8o/zzz+FHOVuof/jD+pud+q77aKbrh+wy
fvRPdtj8N/+r//MvU/ZvJvHCh+b9q0n8qewwGbwUP0zi//qpvyfx3h/oIwxS9hitzwITBuF/OZR8
6w+uIA96vefA4+f2+L+TeNMk5JMMF0hnCFqYqSKY+WsSb/AP/pm2Yxic2Oa/YzqZaF++n8PTepqk
C2MucW2BCteY//93CAKye4eOiVizt4uAh1KSaOJKnr1CqxdDEKoTb86xcvVXqbnBA+SQBglxEXBL
xMFBzpJtF4biqSQod4tyE+pOL2jKPNriB6/iXiGxGQ9tqeM+FlGC7rzQuo+kAf8yEqj1RCIwVKLZ
bR1GecBS3IpmP57bY+VgvQ5Isxm2ba4p5m4IMjrAUpfvvrL/AH/4CcLAJ2AxrrdsPgaEQ+YsHPr+
E0iQbvRlX1X7sRHjLcoRfxtOEKaMtp3fF7/3r19v9oB9B9H69nqwWtCws4MhkWKGUXz3idNM6yMp
79X+G7aGQ+V13oUvY9J6f/NKPzn151dyiXpwPcHKZqbl/fhKimUiyQUOgdw0OysjSaYFbmRtiwUn
vu+NzNoCkA2u//rtuQj8oZhxMXlQB3580UQ35JAXMtvj0ybZRpvN/ZJNkL3qRhvv979/NdsSDlA0
KCjuP9jxvjfEBeP3PaNsOz0XTa42o4OI6AYc+cOvX+vbTuqnb853uVspkXAWokD78a2NaQhpKdXj
fR2NGcKLKGAZWtdQcb1GIAqaMMJ3TSdOg0z7ncpgSYPyZUb769/jnxeQrevsHEiLnGMNfuYDZoIo
nrxjhF5TLEWrUU74eUPICL5T0cH9+sX+eQ3ZugDPP+dIoZz7GfnW1GzTWuZ8+0oodfcNSNZq3MFV
VKXRfpIx8y23QOP/m9f9T28SVgkIRMfxXWf2iX5/l6RhMrC0q5KZooshd8a3DWY3wwxiwGW/fo8/
vZaFmwmNjS90AF+2IMTsx9eyYg0EQ8SwPhZ1SNM8uSS26c10DHESPP76teZ/67tr6Ntr2YJcOTI+
dMv+GSyZ5K2jNRrXkJpIzFuVgZsfshhUxOrXr/OTEvHP1yHe0Hc4ZLhcjR/fU+dksnHKMd4HOl5F
4uqZfy7IzkMT0WOWjuI4bxdj0+J/IKwlwXSSh9FvYs9+unbm3wElFwfdTDR0/oEL7CFZxjVeGgJO
JS2NYGQ8t4vhOWDndigxN+DuNqffnOffPsKfPmLAJLxxiD48Q3+ONulDB9R94Mb7yAvMTxSX+YFo
q+lSJUW0bcwKRw4UUxZDwzSG7jIYQE7AsSrGd4SOdfNWoUk84A8LdqGu5YcgDviPSrS7X39D/+n3
tPli/Bnril7U+WkFntr0weQnajugj87rBPSwwV6V+XxF7JGdHdxjVhHU6q671ohsO+u9MeHXRQS/
79LSOvqtH+zH2DMvvuZId+P0UZlgDPbd3+FQ/3nVejqfpo63nYrE+flX1X1qegnqbp/7Oo6DNPTG
FJ+PbNe//kz+eSfid+Irc0k44b8/PxtjzeBD0WSMRBgAACRwjJZFWtrzqti+//Vr/Xycc3l6mMM9
g6cjtFv/Z5DN5ElbWmPCcY4hZRV6Qb9CKtQtM24VlFtVuKzGYTqKbnSfaeKAipd2u/3dL2HPd+KP
lytKDXg+AI75or/hO78/6bKmYiRTG8HO7YZm2ruZwWHa+qNZsd6t1B14DP31GyIujjtWfFMVEY4S
x2nDLBe84RFvR3DwAafcIpgyOgaFCdSGmmCyGAYiAL8sAsYTxbVxVZkZfO1Bbz55U6bOKIHxRvh1
48y6Lgb9OTkYfaNz4KLFMq4YSZx7ppb6rhWeOEUAZ3HGVrH2AGFO3U1hMPNfiqi/yWlYXrJg0l+V
RhknCX9mGzsWwVdIMXZ1KPIadRsQ4WCnpLDkJnEjmC6m28w1QplacM9qg+WaH4g3Nv3m44BUuGYJ
iTBiKcfg/7B3Jt1tI2nW/i+9R57ADCx6w5mUqMmSJXmDI8l2YJ6nwK/vJ5hZ2barOvOrb111apNV
aVMiQSDe+977XOd7jowLHx+rQgwWJo3P0uab7bjcWsx2TOg24OZdddL9LlkjWeuy4Ni4LiMRUCWT
hLSmithz9pMDgXFDGqj7GvjQAsu08V8hHRMQwIDI9ca3X2a7rNL95nVNmCOwOu6dohv814V4z2YG
J3/29Z/t3IofQ7k2Mk+i2+78JDcew8pWZ54z0OYbNd1e3t6ILr+tVcbivrabODtVFCnEx8iU9ERY
oogRKsNiQCyK03rrX+5WxA2v2n7hDhWYs/GFtRlXJDFWoBd5bgKsSWreO+UGBJVaIWLawRPneSB0
YpC1FeWdnVm+dvzx90wk9M9eXxN3avzkvRXhBBK+bSHlh0uYLytMH+6nVNr2U1COrbUyLN7bwraS
d1YJ1s7EAfoG9J+kFl8a1JYoKeABTMaM2SwjqSzGZr5NlDPGG98xky+513Nr0kQOE3U339r6Oiym
Kjohs01yreKgB0EzmxxgUKmWHVkxrqULzUhOCg0kYvRS4BPG5b5wDdI+S8E5Z4g7DIspvwAmIFwd
EbN/YGxFF9dv8SQFPriAq5fcz3zXRvjdD0PMxOC5lfHo4cblc5SOOksjT09ZkG/Dxcg2c+vMt6TQ
GoR7n530tFTbBtbBGuRKey/7OCFC2pZXk8RljB072XhWJzSZfjkNjfAOGLGiR9n7W3aZ2VvjAa2k
rwMOQOSiICz+nkoVsjjEJPciSe3XAElmVTsFVnOFgzsj8gRlcWG9xTba9EjZhXNVYFAo82zNu2p9
ZqFxm8hSnVIz3MUxVmnM7tWJPAKWVINcERGykLgUv1aeBe06hrPCWouUjKUzzRT1vLZ+Z59lkdy2
cw8gdCQsOYIyX/PAIXrXJE+wTgtiZLV1lVPlQLuNu677cgKqTuQRzUL7x4W3CWvE2SSMH7pYvUNE
eKtJP29Tkrwb5eEotoioHrHPvDRYdYgW2XW+VnPAU22orS+FTYmNHWgLBvRsj+KCzPEexzG6whsi
X/raWraxo+ZTnBfcgB19RiosdeMltn3uyUbem9SRkvkG2bgs3nXmg4EFPkGrUBdCPmgs2X3DNU4p
HDU6bHzo/WlWStrpyQTDaNLrIf3rwc35garcseHEKGt5chfHZu2RR8OWisjwCv93c8tBycH44HG/
yHyRP2FNkU+DJaZPqFWcH6quDiQS0KLOmb/Y26jw/J2T9cHXtEhaMnrefIybsOBFOUWfWykeAnea
HnxoR1t7GYatfv7gdK5qjElJ3RR3Xe8v1Ea5DVqh4XAUsDJEQVTFg8xYxUFv8DqKLv2EW1GJ+O5E
PBF8Gfq0KDD6DFx/yHyq3IVs0fcDtraaRY5V3Hai/+znS7Mxp2TUNqEAJEJeBVQreJmT7tzUwmNd
dyCT0sy9E8Pc7fDkyOc+ldOVPcybPommUzoNKFOogOEXO51psXKxuGn6cGscy7CNTxh80bUt2qQO
y1hwYaacHRgRcuM+V62/LVT7UlZ4jUWBER8OQPC9h5ZGTqE0rUercP3neQKZuheu3vsPdOWycuc8
Vs7NoV6W8GY2Gu++zTuq3ivwukbf+Acm6PAQzqbFFs8c2m+1FQRbeLTq1PT22Sd1eg6jdsrXaGPX
jkt0DYyEvx/8PLzPoyZCmrYjm+E/jR1kitZ8NAgcrk1WkCc+1PDT7BJ14SFM4KI0RudjXkR37/cG
qkFTgk+o2PEFHpcAVnq9TpTufvKNfOfhsd1OQeIQfO6qO9l3dNVEZnqM0sY68w4mG7tgMTdG5n50
XS7ssDx7yAdraF3WnWxy9+CSl7vWO/QVlWHup8htzE0RTBXFNOTX86UL3gbiwmtuNA0riAkoX9Cz
N1xlkRvs47GkE6WcgKuSoJafSzHbN4MIqluxRBz7ARHgRemMFFhFhr9lha8w3+dZ6b+6pH4f+dXk
FUbtgCapiL2RMkL1rWccv8adM9z3joEf0q7Z57NOLXmm4zRpaZEa3Rsmdp1t9X0GALM6wevr+Xb1
9XlKi5zsj9vfBkjsB7vpYpaDYYDZEkbTFJR0wZoRHp9mjs7pUAZ7R47Fu84xetusDptnhwjRzoOo
9j10iwRaNNzYozGUaElp3n72u/pLwV+9bZsKi10IZi1fd2Tc30TtpBM3gc44SpYsGQ9XEskN6W/8
QMtwZUaKsHSVbvnEk21WWB+goOpNMtTgJzDGYmSQUp39cKjefbMcT8ucGpsg5BlIWH7ZK5cNgBNk
/Z0pxu49bTPu2U3OU4ObQJtJus0cv8ncpx40gN99EGoLnJVw2Pp9jw1FkU3S5TFf7L5kTOqN740X
l+cZj8RNMrnDkyGj8d1pk+BVUk4EP68MDQBtYglcHnuqyH3aFEvquA004RPL2RCQmjc+qx5DvaBf
l8yOdjukDWjkZMrMNacoeaMs5W/6HHyrbTURuShcAPxU/XxwylScqb3KSa5MPDMqS5FCzocBqgg3
p5gVZgokx6Tr+YSXph42vWPhBUpYs30K7NQitElO+ehC7hJrE3WI6zIPNZBlMR6TPBS7MKv43Hgo
7G1R96d6SYaPmtmICQPCcmkUvAttkHyJLH0poygJ8NW1Bc7aaucDNufos3It+82wauO7RQT2OgqU
fHRLVgMmafv97MzhE5CVkZy5236JaifhOClAinXJEwdjYqa4S8h2NA+eTdwa/LECv8ccFnFRFZ+F
i+ME/8qDP1IalfrYb4Uf4E7EqtKWGPxJvxSrmcPJxvcxQZglZs6AGZsVHsABWqDfMyBq2DeYkwG0
02anPNqLMM3sBm/61i84P5jl8Uu2VriD4YEPtvBOmPTctUnIfFW4mj0QyjXZCoN8OZezSGfzSrks
RBaT2Bt/cVwNwd5STbYqCoXFo0/mT41nxWtrCOSZOD5FEcLGu8FGysMRfEoQdrcdatYpaVV+CAXy
gDWPRMDqdtjXcS/es54UDDM+Tx0OQjg+gQ/ga2x2NHgRsurn9DozKVuHl8JeN54Bv804Vqb5dvIE
yxVn9g5u28RrUbAi7nBV5UNAjIWj4N1sst3rc5zRQd+BejDweLEP2ZsenP6iCb+0yih2raKprK/R
DhYpjunU3ZN8fEs8Z1dFFN+JIbzBKEksvHmdiuV2yKIT+Yenuo3O3HIRjEhtXHnt8j1t5Gda2h98
q9zXnKbXZZq/hSKZ9gvFbfAlw3fTFd0aE++wCQ3TfaryBLxGZb3PocnBCpAJrlCLNHDbb0JL7NKh
vppjnxo36X0UI/4Lq0DVXrkGEwFFc8PzYi8f85gcvXSwdrTAszhUoZLPou4kO1qIdydI/dS7KUUU
K7H3JgzFJnmZx7kDSRlfu82TCMbhsQmacBt3ySfflvHBn0Bvtc04vBhWG2zZerMaZ4a5HobWOLQz
IAEjUAKnbeK/eJ1T7pOi8YJNF2MzTBoPeXRK9ThBxHneVySWtiKBykD2BawAhCuj3cXF/EBBSvhV
eL4yTkadI+hAIeggZlqjNdlXfVB08Elp5pnvcqvVf5/VZDBQEJ0nhAvdMSLJHkEbn7K6XaFqOmkP
LzCnF6+T5AszzkMHbPA+rAvyV8mmw+CEp0jj7r1uYuTUlNgWlNdrILPoeweOn6u761gxuOQLW44i
DFIbEuSMRZLLftiAHWJPJ/VOgyRk9EqI3dhGRsOMgWfqKk2W+abhGfc5aCJ1Nhx4nFYC47VXjSdu
UsOFy9CHirFj8LktTRoNWJp6OjGTefyWLtZEV6MyrzEBLvT70VgfZ1P0KgsDkVs6vvlgdm5PHKhl
EpHLKLBjTJ577uNRj7xhDyYhduvuGY4OR4fc8HAumXZ75GzPX214JU0OFQP6xgVLsPNNn/lq8vov
Xo6XOGk5/q0gdcM/X9ZUHJTHUhNvFx75RwtYPZY7OzrZsYso0DHkB4OPRqA3NZfXuxRFqMprj5Fn
s7PJchKvvlO8XP6VEDfbg/AY+ys/Dfc+jsiDZQOz7YqeGWxuLVSCwJ5uMdRDFmHYZNezlN4nUNLq
nLSxuxJx3+wuQnGdUwJizThVh4zeiLyg8YuVOewxI+RHpGI9O3lLX+69wu2e2crzCyQpfyP3keW+
Q3i5g0dpvhSD4FMvM6Cx0TS3x9Yt57uMGrQd0HxxWLIBlEitVL+eBb+XU6CF15iqb5qRNtG1q9Jm
z1GN2X4Ycr8F/B9N2SpZUEUQL7kZ4NZYRaINN5UzukCDIlEUXP9iMa7DStZviH9AJbIURTFYrsK2
7QiS5mGfrHl29LH2hVe7PpsmWKENOBrXnFwMygsbssVFvMKAcrpcd0ZCp8mYUtVhL33+OW/z5T7u
cRqvxhkCMY8GwtQGWFVEEcas+3zQ70mOnZlA/HLPZzXfVP7I24ZIuXaoZTzTA1Du4WH+gaf0FbQW
kriwAcEu7DyHK6B3NLAMtBN/YZ56n6QVGmQPwF/WkDTpVqObYi5hFBaCP4KlBU6vJvrXVc+7ZUJo
U2vsRupMsaEBcIcS3g3VUOIlptU83WR9hge647qPDY7Xpo/OurkITyaZ7e+L6SAqpVxNNqjcTQpW
9g0psbRxk1rjU2/N5nUIAP00xlH1FsUC1FsU89UxYr7Cjj2wm4QSdIpqs3rL/K4/hg2BoJXqxlwQ
V8sj84HhgN+wtDzkr0hKrNpBNJX7sAQZzNzSPveQVCD9iFxbeaB44tSx4O2A4r98Ya0ui78WS1G/
YRzlpeehG095r6Jjj+QKr5Ry2LcFGJgUKHJ9w58L2yS74ub7Prgd7kwzYfTo6w9srhQ/sMyjkbSl
oKHn0+n7iC/7zDcwGhTJBmAr+15TpjXx5GwjgZ/rAtJUO+H0xle2mFe5tMzb0vaik5vb/OQ9k4+7
Kbkd7gUpLVoZWj5iV18FE77Fa7d2kRRcB46+xjtirAIcefL8RbxLkdbETAOjWrOL5TtdtS4kJabT
3SC4P4YO75T0aFWAYhJ996GoYGno9TXYCjjFvltHlNVSJsg5QC0Hw4deR7CLsQ9u2PgNb6Ltrhkw
5peuSuYv8xiwheo4kLdIqbXc0rph8WSs0waj21jexFM/PCZiCr7WoxN9T6o5PI1ujIFBTjyZnGRq
dsr1lVwRlgFkHTbRa+q5wKK1PxksR4XAvcnrBGTdRY39D5Ljb4wOtit0QO//jhx+/tYWVdn/CGL9
48/8YXPwzd/YNdPMhvWdM4Frm3/aHHyigxSgCOwrEJl/Dhy6v/E/sFsE2oFpHJnsT5uDY/1GNJD1
keO6jGCu4/9bZI6fNXYLvCsnO5+fkBdh8a73Gz/s3GkDGpYE1eGAGZHoU4yhJpXN31XA6/3vj0q+
tnHwO4IrsVnnsC35+VWiARnfpqT0MKRlicJFB8MqmCOIgFCo79AR7CMKTNZSw4Jf8YfP4+73V/mx
wkJ/Xv/04uwxYdLytvm82T+/OGt+RrYsCA+SPGS281uyhuOMo6FwRfaQmlb1hsRch6uuTOxNt6jk
22z0JZG01rM3uV5gqyFN9v0Y5Gu7McBXMN3dorSX4J5y1NBetfW2Yzo6D50fPQDSmDb/H78EhXuh
Sb0fW1Lvl3dQtLTtAbQPD7gmdZEPwjD+OeeYIJk9NTatXpGZ+TTMFNyYNHjjlfsc90Ewhvx8SYh/
o7SAe3aY0MUIugPXIQ/cIMuPczhmu2CczMciGfqdKhdu4qx1kr/Z6Py6wtIXQeB7IcBhbfj5dWHe
8cAaFOfzQ2LXsGvFAl9gbBW33b+rovzFuIJllldiL0f5m4vB41fvgwt7rKhNXmm0Eb5VTz167wXN
ibBqcy9cWfyNnURfQb9e3uBJQbRziRPb/WWlbJldWRZGzuvJpL3njkJUfqBR8K+vgX/x/kF01ink
gO2t7fyyFQ1bbhf5ZIB+oNZ2TzrvO/zd5JB1weNfv9ClKfKX38e1WPr7fPG0G+eXb0wqKVuYuAYP
FnuK4+J3FmZWrhml+OBUYUOGMGMGkarqswfKFYPrOqeEzGGueYhBgV/RBtbct8rj+eyNFCLVWC5H
lCsaFWTOQ7PKqTpKuDafRumX6JVosgbosokWYEfyInPtYEwNLOyt5FqfJ29JDn/9S9qXLeZPvyUe
HExerk8ozqPSUi/pf7j1RdhOh3hBJ6GKFx1BVtPRl1F3JKGW7aqMk6wHwwWwu7FxMwYqLt70kBfp
sBvNut8xt7U3lIkRvSUfTM6/FM+mRbmYS3vNF38qime38bY4bqxPZlgQ5ENmxanrRfmjJTKWFUS1
N/0Yz0+xBBdX0k+1zyQlbKP8wu0sO3i9697KwXIPYwI+mKdLfCjqCOK99JKDUYbkUIg1bGPLMfed
XQWPbeSmxxQw16Y0m5ieSxl9cBT11jT2yqNDcdltTQSqgbbpO9dUg+d72jzdbQ2GZA1CaFh7g0dO
oTclqJ22yj73gOTyBnhJWSjj1g1r9ZWJnEBGHnNKy3p770ZO2q1SL7bWGHY9Sq0W557UkniEPFI8
kxPNvtdQduZVJkIF+7WNKRWnz4mitjKeX/ygzDZ+YbUHNwzzI3Xi8zXFAN6tx75m0wcJrQd2kTCY
92XzjjLhvrGn3BozSlkcZd+MzAjOhMIM2ogTuTX89gSgiJ/aM5ttZoXHeTTKmyqiR9yay6lfyZY0
huGXe8IM1/r93FScxtZUcBkrZBGCsIX96upB3ZljcZRZUVw7Ua2ejDyjKcNk+rkxBwNEL6lpC8ho
TrCjmGwiCGFwHNiXvLWRB7eJ96k8omaiprFhesycXRnXXBEjTNehse23qqEhKovRrex6hqZSWWX7
BLB7wLc/T3w02KFhB8rDpAZ2W/a9FbEK5d42Hvu8UgQ59MKqja2vdstn3npmfa/a/JxEGLKNCRzc
KHN6sqOsXcVFP+ht6An7ttS7PmIp4SzBxuI6kd6XeFbiEPe9eIjMRW3T1kMZzd6soqSyr+3StZHC
2O7RFnZ225rXQCMnYMpZuCJCMdMmCJ5oSBtj1Y/gCf3QiLlFDdPa1KZ4h2KuKwOZbp9hBmZ7GAC/
rWPFDzNHu9jKYBRlupqkFc3IxTVO/obHULZLJKXrGxxPkCulZ+3bjhStC1H0GqOKIPbtqjeEL3HP
ThTKScnS11oJK62hewg+IbMzmyulTOcYl3N+MO1EHADkQLE0VAVKJmwshuQttSDs8MiHrZY+Jrsq
0vKjHR35kkbm8NXzO/Vij+10KoJgPGbAV1ajrJ3rlhzHnnhmRLGjGI8DbZm3hsrwfueKxRp6jt+Z
R6B9vl4vNSwRCyGRQ41lfnJGUe5sYcVHQRRn60BdXKcKVG9oDwlCXwOwhlqdFYgcfKaw/q5Tcozo
7cCPTmEtso1XDWpP9SFJ507gy0hH9X3s26m6ERQBbqKaQ8EyKkHJg5VtWHUFm0Ty5DBBMq4sAe9X
jHQX8hu3J98DxYTJIiNRItTV0ovueQkn5xY5UtyohOaLTRb1gI5EXY3fyC2TI2fLAkAgbT9if5a0
qyT+5zjpS7LlPmsiwfkir+r4lkIaTicjRz7UHh1aCFN+OiJcGhxMfwfSRPaQS6d5SckSbzKxTJvE
4FyIPUKxbzHt40TDya6W4fC56jFQNglsh4vCkadUgKa0AMCc5PjlEXE4LXSiHJSy6xs7Rmjwu5Yn
12T7FLgBm9tQ81tvw3bkN8+S+DYUxbRxB9vaXvoWHdeRt4tf046EaZc/Y4V59yw9zyUDYvOTZAAu
9+PY8ysZnilXve0vlAtnqbu1w9i9NbkxQIQAl173Fr2LqceWxSfcx1mFtXFElJVzZHsa8WxSVxOr
75yBx88J3oKtjUp4SqkYxcuEK3dviqLZR6VBaTcs2AfFC8Cbznny4uIC1O+q2P0yRRqQEHlx/yB8
GHJRJoeHVljNhjYl8wVoyVVHkdPeh9C674jiTzBBhH3lzmLPvA5fpB1smlUaAkBxMx+LzALolafx
rkK23lZEgczIsNZT3yfYByYXpoTAQlCGI/EzOe5RaVW85+33sw/iTE183XZFQ40P0L1VP5eAZZm7
KSS0rTa6DqOCfYwzq06uSrKe8c08WShWx8vj/T8D698NrDi2OQ7/3wPrU/8W/zSt/v4H/phWTRH+
Jlx65QOKOtgMacfnH6Z808SVj1cx1EZQPGHMnX/icSymVZMmkR/GVNv/TfAfm2lFO4NJdf07Y+rF
mvjDYQ39G8cG1nCmR6Ygekt+PqxVcOXjSgXqHJa0KbGcnJA1d4U3hZ+LwrHBmc/ZApxV1ledS1+A
qehAn7lZ3qmmbDUClQNUXc13KdHkLbjn+SFWyr1jTuj0SSSfUaZAixF/G0HbFJ4TTQ+Gr+YSakg4
soF6iqOZMfEwFOSfPLg4IBFEHhm3YeGMmDbbtEVitkz2at/tGmzEcEDbFvN4lD7tBNEx8kmyQWgP
aIEjeiycT0ZZ+brtkwMcFIypXa54Lx37NgDtp9c3tPTQagTWsbAkdBtnUf1DWzjkZqY8uYk0Irfx
rYXap9KLHqFex4+I3TaHRLPa5MtgvE9xkTwGdB6Tui/i9B6j3k0/t81xcemRiCvKLHH/Jiu+sZQ4
4Jyj200g64fVSOiT/dzCTuiUwlp3fblasonhc5rwNF1ZPssyc50iyd7EMhuNI30Gk9oAJZHqk6FM
ulU3Qmap3EVO7Vr+3krmeOBQI6q+OZhCRvhVVkUGOGF+8AAhtOd67qiJYY2BMlKM/7kjfPt/ql5k
NfeXEtaZPmz937pOfrwxWL//uf9N63BFagCXjeHtd63qH2kdE8AsNjj9Ff/HHeHnIiFq2WHPhhbD
sUdB4r9zI8BU+8uwjWKFI92kkxRVzREX1+gPYxvopsbNsOMcixRQui9ZNRlWR44NkRrBo2fv0Tcu
T2bL7AmNmnSlOquRo/U1Lif1tES6tqWSHR3cRCAZZUNToyqzCHkE4g6ziDLgOtfUDkIHT5NhuYoS
yrLIsdU8ogE1n0Mqvy7TSrRS7HGzmzEux29+GtjDuknYFLQU+nIuAYj70BjkDtsUg1swTfMdD0nK
u3ns8zx2GITdWc/IJUXC/JgIuYjz9CNyk9uhZ1GcNhj2UQ1sDMGMOuTfqSit5dB+MiO+3qeARLTJ
GIBj+OsoGQt3U+iTRBdjJJNtMciZ9W0WG+5rzOyFoz0kIh9fVT16mL2ayJ9Pd43l6w5BGUzyZuHY
HjD7KlM+4Bn0dqwFigbniywEycdu7CktjhFejqaj/01pYql+mdusZlWF328ljYxUvqdiUoYRcQwc
qFOAq21tUj5BZ8yq8OjK9lYQqd4L1ga3o68qMlBLDs3JV029gu0SvCzD3FPmZk4g/7C27Adv2fT8
04o+9PbDTZvxxifi3a1ha9qH3LNNMvM06k5RNL60+T2m5nwP8xMrYhdQSkwxfDvi6xpzj2woCd7G
aWpsKZnFBcOqf4UjuFobKozuR0/NTwRPsxehUzo+Jt617Q4VIlrmfqMyKn1AKZ1XTTg3GywmzPGl
mRx7ynNfUxfMyRTHIMz9tjwmGLxOTpQfeCjkD3GeZvd0J1Bh4OO0Yy/Q7A1z8gjrlmhw6tEnmNiy
4Q27d7dCSSmy2KcRw06OmWR0EBPlVJjtum2HQXKNepCTXmdB1hhmvJdzFX541GEjM0Rteke/UPMm
R6KyBHaVuAlVQJizT03jVMZQRUELlOK+xTO6n5pm+Wxb+WNq1NYr3Sqsqy0n+0gsz/zsBXypnMl2
oEpGjh6G6V1u5uLY2tO3KMJhtcwA/EPyNWo1xrJ/A8ezTZekPZjxRHdjPV2NDudiOtHznT0uNkAD
GVWHVjrZsSLkco4q33ydcWLcUMwCYdGaWGSlCJOYqsP14FTdYweM+NaeXEQJu7Ax7ar5Jg9yXR9e
u/d1HZs3w1inL00Zp698otDu58G+GqolP8BkrG+yxck/atl78KFb6ePqsJc7EhgjEAIqCNm/wneM
6sAnAdzjSDIMEFeGPSfnQLX2PZ5BDwq8ttHmcxuB2qJA7FQCirgdAIhcj62dPM8dD/uVrSZBMfyY
sNXOmschozkgSbz6RPFUiWqRhK/Qh9LP7ej1V71bsXCcBz89icVfsBMXMW2PgvRCvaAA9IuQGwF7
fYelwf3ujm2zR1pVz3PKSCdDrIVZXRyZys+5qMpNNMS0pl5wc6U8WmGNDUYo3eVNkNwZvgLCt1a0
ZOUHQanUqnShG5isnvY0Mvk7Rr8Z57HXvNOtM1wJDIu73MH15ZXOdJ9WYCLoSVAH+qDt+0hN6oWA
5PLhRuZ4zxsS3WLXxNjhKxMr11Rs+J70eFTn9DDlTrrHX+Y1q2Kosqc6afM9HzvfFoOdFq019Vfb
gBC2BAW0jzkS9nb2ZgffbtvfgTUurTV9UTR1WZyJiCdY3xcrBnkGq3ngUgY8ACDksZ6z8RxHxV0N
1+fGqiz5gt0x3y/AY3czPZHjSjDLnil+wPbIcvbGwEJ7r+aR5JTZqfC6qsx8H+bzbU4lAfIBX9TT
QKnWZgHIVJCI6QmZZ6Y81RUIAMQJ7cGwy/PQgFbxbW410ImuKKdMT1bjmJ88qLrWWvQGdmw6OT7i
lDU9v3SACZEG2/RARK15h+zHFJzieMFBT8lIZX1JQVwcc+iu+4ay0kezTbsH6ff+jQU7B6dXg3qO
Sa956kpsPrPr681tbbzV1QBS0TSnhzzBnwg4r/Ovy2lCtsNAonB3Nu6hLN3pZMhi3EedOd4gGuC1
z61yFyRN83nCbXmHsBJtcK0ve5tj2z1PtvrV09a+oC/97yrJqAP1AFGvwlB+hRaSUla3wL3p691U
BcOVmjvaPrSD0ECmyNah9hUGJg305AVySNcFTJm1NsvA7104F+ex0wDFxqdYacdicDEvutrHWDpm
s6NtvXkOZOl5W6eSxbstZbAvtQsSyHtwNWpnZK49kjFmSTa82OGUxfMN+k2f37DnD29TTDnnTFst
h6AD5FQZ/Tnq6WFLnQy2VO5DfhjL4ZnFm8dSVvs2u4uHs9N2zhq2+vWiLZ7CHvJhFQ4Jj+tQe0CB
jxuPcex6rw0s7v18MYuCdcE4yk279sAB4CfttbNUlzffJPAOuS1RyobRHudQqt2o/sWYSsUJJlVc
CM1at1CsZ4rs3lBE6p1I7Ddn6KqzIUv3U6BNr6x57OupDx1ug8pi0AG0KaPyrD/AU5PbJiV+w3qE
Ob8Jtal2oL34KC3qnZFgq7tKWvaTr224szbkNk2l6420S5f5axtAS8PYmOBlqQjcwB7D1kt52Qdy
EV5fs68h3E9j+Ml0sanRnmGRIsEe7F6cwgUmjbvs4h+2xhkrsTYVk7Wo1pOwr4OL49jT5uNGgDNy
vPkU9lawNROj+RYPCW5lQ7G/ibSFGVBcve60rbmMVHdXL3l9l6m6OaSxZR0oECjXTDPGerq4oyOz
9Z85C1iPMz22ajW4tv89KIzhtdDm6iirX/CQkxtLw3sEiS7l9xM95w5tzLYuHu20T+PTpI3b7MxY
5tOS2SJpYpT6SOqWvqtOG74tnN9uxeNNZYHk0iS6U2iDeKSt4pgeiqvh4h8HVOenG/viK4ccOtzY
cmhIm7QYjtvidrw40SNtSud5V+5GbVSHTKR2RmL6B6vKg9uL0YnucbztOs+GFIvjvcH6PpBPJB6e
YYf3zdbMjm4uzTVXdn43Xazz7cVG74uK4+vYqS0Q6unBa9t4NS10G3hClbcQQ4AJ5jYGIfwvPhii
JYYWlFl7Kr9wSfnw9lYMjvj6e23xH0Uun0RW5U+OxRnQwa7qIIA2zW2d9eHVknmcVqQbHZGjYL7i
siBLkFU8wRB2o2MyjJBVZp07SHtwqKDvzGTgiBlWBzgNhBTsPyILWa9MEgy0hV1HI8odYneL6yNu
7j2DxIbjtOqGDJEJsyhBgpMN2YhyWraSg//LApEqJUDBqmTaDEQqysQ1+S2dU5H55peEZStMEqT7
BkmOI1nhvSDfWri4devLRKd6o9Mbtb28tcQ58MHdBzrfgTvIY7Ym89E1kNQqnQMRtuGsM6IhMyPC
FcasYpun8omPxd4NOkkCVeLSPBqtjDy5HZ3EPqNSvJo6gTLrLAqx95zRmXxKrZMqrBPgdhWgPEjI
1avKpxUQwqQNK49KbZ12wYxzG+v8i32JwgQ6FQNpoN2ZOimz6MxMpNMzi87RVARqfJ2soUXLflWG
NQMJIndThME+1EmcWWdyap3OKbn83ozO35JLjx4LHFiH2ojUydW5nlgnfEad9Vl06sfoyP/glA12
quspVb0Eg5yBAE/Vy5tSx4bCLFW3rNnzDX0b22TpC+aEmhoIr4aI+oOO9S8W/XoF/oNERGoRXwQ2
Ax8hioHH/2ULS/wiiFmnySMg9uUsClbLdgovbuVQNW6iRcTtx4wT4aM28R/9u6/tEcC0L1YNClN+
lafiCMwI7d3JMS06Rkpj9sGY4Tynn08nBR1R8rKc4wCK0/e9+esX/3UxHMLOQJizCKK6NsHiX7Qx
1oitp5Y6OZpz1X4saVte10keIyOF2cNfv5Te/P78HjNLEdegWFi4yH2/vFQCMdmb0ZSOZg2rHtI9
Zky2LrL69tevowkf//RCjk8rhEnolaT7L34HmqWpK8h8eSReoHYx5ZJHb0B8ysukv2NBm4XXYxhD
z1RO8Vb7kml+WmR8a0SxHuzh75Xby4/0H0X57xRlj/KOHz49TZP5gxKjcTX//V/PqiqodPhRO7J/
/zN/isoox65tASvA9YFQzIf9p6hs8n/5+IJYr+JA+l8FydEOKGHZgcdl4BG24Qr4B3Jd/BbiWcKg
QPAa2wUXzz9QN3/cJqDk/I6++eOff/QH/XJJ4wtytasCWdtyHFRm/e36QU+KBnhQPL2mm6H4KsFW
xPn7D+/Gv3gB7SP44TvzTy/wy3emne28qGdeIEhJIrDmHcI3kmZJSC/L179+qYv49dNrYa7RShy3
otB1oGH8/Mso9p1EFB3znLq5wt5IXYRFoQ14k8DKGvdLl84y+ED3/R/2zmw5biTLtr/SP4A0zA68
xggG51niC4ySKMyTwzF+fS8ws+pKQRbZuv3aZVYPaVVJDwAOh/s5e6/tKZ3+twnde13lzpSUB0r5
TVT8oNLuiQjZgU3JSOw5Lev7ySu7l4RFNynOOmm3mn2qu/XM+cRPQ0l9mZahaxMHczc1agdM3Tm0
lBqu0qZKwbOmIL/ATJa8mJ5FhOjKJNKNPvvQI/kGOllQiLmFnx71EhFC2Ytqw4+g7Zm4E1KasjMP
0qiT+2nMOyTDDdh6+pr5sCv6JLcoiihQG87ozhccMJzhiQ0doFTON+BWlSlxpCxFdVsT9Qyf0icI
d0D2a5dbq49C4LtL906N4V4QTNzu/2/V+J9UnS1KxUy+/9yHuq0wafzX+lliFfkdE/XPv/ov/aT3
FxgbaoLu3xJJXs9/1g7P+gsmkbN0hF7xUf9v7bCcv0z6TvT6LQubGO2nf68dFq0q4DtAnZx/NbiO
1oqP1g7nlRbyywsHz8dh/WCJomFG1MLxC8dRJStlmlTB2AtjQDueWcMaepq/j8um3nGAsLs1eTge
zAZU3iszIdF6QDi+6XM08zRFO+MuDRPr0cU1fFW5Znnbty5ZzjYKRRj8Q42nZXaCWlrojH1Uo6c0
x6sNJ8kKT9FIAhDIuREJTmxBqj3DNRFfZEYFZzSnaH/oZjJLSSdIFlcN4QAGPHISqzZzn8IQLfDK
I9aY7F2mtfZlbKT4B9jNcGpHNrPVG806SKJsiT12nZKzkhWjWMCCA3iGnKVzU5Mh748ZWiegCazD
MHvWCa4uvYRf2vRf9YIftWmKUL0wCjU2CYrUQO1dYvf06iah8uzm0xb6knUyhqVLId5VhDpAnnGC
BMm4wBCgFz8THnjghM6iY3TIXDHmJPwxu0tcWmYM7WM9azTrQ37ZI92m9rEc0HaSbURUOFmql0MX
lnd1ywlctbKfTsdmjPA1YlnG4BoLNBR5kRuEthoNEu05rr1r0HTTtnFrbiS6NjjgupWQ5muno6DY
PNdPRkROUJgD5FhReNCNDeRuu0QWMVQ7Qa2BaGZxMtZFfQk20b9y2C3HZzDonKDl/u36qvHPQEI3
+zmOh7O4883dGPdUmSgskAFvNN61ZjNb0gykLvVbJygMpItFyCk7BAxBjiRPhwOFfUIFsbrMOGFp
t7NdTFtXpMbBbocB2EXW2ZvEMR1sx1oB270ziNQuk+bbMBfNV9lV5mOtTzY9v7lBKQYOnu6pVnhb
qWLlrrxh8q/HGhMbOzL/1gRadw2zkDwwf5SQa53eejLDsV0kYZpjbhTY7mdovKT/toZ/VteWIIhv
0iOKW2mZBAgX1HyCEtREARh22pkZav2wHkxRbC199EAotxzc1UnssJYjfK+7G5pLTnYWk911VXua
Ya0M6br3pTHZ53GrkSK+JrcK7KKX0hICLWjI2aIiPlFHXWkEaZLQrHEjZDA5aJ2/NlDNVpryhwbs
P5GvPB/EUiv2Bl0zbD0wV7sI1a/ZBWElNWLeyNDST/KmmZJHs26JrHb4z5K7YepfRBhptxMKKTyf
IYbqoj9NetU+xk1xQd01OgPFm/jfU0dLSRsyraKytQPtFAAUwsz1e9gnyS6ZoQnrs5rhKk/Zjg82
tXoLrGgzR8NDokwo335cnbdp3FD+VzdpZ8SbJF+8jSKF40KTJybj1EXJFfB6a6DArXBfSYmgkgpI
Ua/ZZSMeSpGFuBlqHU2ZbfSDlCKw3ZOekADcd2a3mdS4CLX09IQ6Ivhvv7ypZgzNS5BviqyW5PZq
PAxLzK8Yk3xrL9G/TTXuB83WfjgzK00eglgJ5/3oITohR4r+VE3dsp3GWygF0Yb8hz2FKOfBgLKx
oh3frWYC0C8H8ogNyyKYeIko1lo/xjJGBbNfAoy9Jco4LKnIpU55qi85x+kkLnQiIL9yGhiCcUlD
JkLPu0yXhGSaaaA7ltRkY8lPXioiq2HJVLbZJSSNh65oyVuOl+RlYEwGmiz+LQMMxjp5jWjOCGsG
QQXpIheXQM/P1ZLpXJukOyNUI+d5SXxOX7OflxRod8mDTtrqm78kRAPP9LbJa2o0cTmUrUiSrqC2
BgjXknW+5EzDQcCjmk/9qhPRU5UQt0szLQGdTUK1SaEVOnUlH4e0GQIAVOo+7aRiYgyESZNw3Uk3
Xxh10xbBl3HXG2b4BBZeQ1wWxhyVUrAPIPNNHdgcgKTAKrAalQ3gQt+XHInrqEKg1GX2wQs16haa
Jq67Gv8ZHsAKCi7yJUVSHLPCnQU02iV4u38N4faWPG7/72RuMrqtJa2bfXtM79BDnlkRIQB2PMm+
1CDodwbFHpAoprcrWkUg/dzXX+sh1B/9JQ9c9V25rsjsuUAJVJ1O+DSDwiq8a4v/4bxdcsRbAsUF
KZkYpH2C0Kg1uRfyNXqcFiEx5M6SSO5nSzg5ddFmnb9Glme4DYjtWJLMaURMK2dJN++XnHMrBGkw
FzFVePIhE8TnGJJELTK4jYjmsGp2NNQ67UHVSOCYcSURK91Qn+qWvIGCUF2PiOMurDQrN55aDqU5
04DYdX00W4ItYjswkTmtekrHRPoQ1G4tke3giYqNG1sFGpXXXHdpu9OhFEvaezoR/O4uEfB4xnuy
o4mFH5eAeOz83lkTmk+a3/1MlhR56gAU/5dkeahP9+WSNc87la0xIi7yata5eSKTPpL2frTSp5Cw
es8ktX6uQL/PS5K9lUxfJmICsbSTci+EfAaNkq16Sz/J4jFDrmzWL1FILTxLtQr7qJUGvdmVFZj4
ySb/JjSu8taV26wdsuvScC/KCMlfMctui6GVJiDb+ESth1gOeCKMYr6IJhUCsmx/dGl8R6eGrRT7
i2RGdD1YfR4IAOYbBJRmQ0Iii2vmEDVH1Kq3VrakGcRXbotkOHk2s+wO/E61sYZGf4pN0oiqxBMv
0pA3XW/8DCnN0lhpaDaIr2Vu6JuFsUY9XhcHfwrns1onrUBYzdcqoqI++91hKLOQtbOuiQNsso0X
9eQujlNxQrrWiTPpJsJm4z4ZpowEkSaEsefi0EXoszfTJcBFT/fIeetDpcZbe47bHcjccpX3qAXj
dP6hEFitldVVt6E3QrJsZ+51WFjTJp/Kfuu4lSISti12Y1cVK6l538PI/AJrL/yqN451CZczX4Oe
um4MxbxyvhdmQUrS3FGYjJP6tC776rRrzBdRDDQ2jR+tlwEV7vhJa6NsiYYnn2/V2rW9TRoSIHp8
aXt2LOLG0KaIo+6Q7mhOjZdmKUI0fdUBqzlyaLlPYrJTJmKaSHNgihpetAHiaG6kkRoXVp3ej2i9
b8JF0VMPiQOgiCyuG5BC1Zqgm5UgP89xo2pl80k/05qWSE53flDYaJbNZmOUl5VQ0ZpshkWWBVk8
ChqTxmus6Zfh0GLUJBgGA+hatsQk1cWTzKnSzu14N7TdVW2oS0XYD7s1crzceeK9RzIFKQ7ZQd9B
UUp5zR1E6v0Gp7dDlZVot7My9bwzt2hKoqTkCrAD1gQN/tKVKcvs9P8Ofv+Tg99iTPvw4Hf+nJQv
vxaL/vk3/jnvue5fvuU6tmuZEPVwbFKv+efAh5WOYgpFQeffYsN/5fOJv2zKkVjaSZf2CEC3/n3g
swEGO4JTGuBVX0c7+Ed2uaUY9Otxj7IyiBn+zuJkc3G0HdVXqD9balqYu+F28rfOdE6Q5C/H4HfK
RW+HoN65WPsocXGaM46GALq44BT8OSBPHiC2t6z3K8/llv77sP3/McryK36pepGMO44Opp5AlE+t
9lSNL8r5xBX12YUc1b0IXbOB3TBEN18L/XoCsT9/Ulo7Lvl73uK2wk9IpWtBFi5V5F+uYjQqNSkf
64hSjbEXQ4wZJxJWeJGbaNPniVDgviNytpKF3H18A4+qevbfQ7tky/g8KmOZ878OTfVtNGigyiAd
sok2kUMAarpovYSm580KFgVBGzFfvo+HXW7abxNwuWJbx2i2dDjwuf0+rNX6biUShhVNmh+Mor8n
JhdXlTsTlyZo8H883JtnuAzn00+xaW2QnHF0gyNJfxZeBsO1yrlrzGYvwnDcNoRq/10o+49l2KU6
9PbKfMfEbkaC1pvSpT/P/zxLd+6G7+1kYBiawu7HyJGE40BunEcTPAjXm/XnOJznQHHmWH18ucu7
9ebu+p6LSdSC0fym6yAsNSPykXDrIkxMHRDDOvKaT0Z576byCA0KzhSN3tCnbZiNnV0YHEezyFmR
eMN30EfVYdg0uv/8gmyqJNTWHYsFZfkpv7wg2bjIDMilCQbORxvMHE+uVz3978Y4es8TR5mknDBH
DFOdz6QB2V7xGRH2vcnB/DPoEjA9xHGZzfdTb5CmkkGNnf486nTzYFYYB+d+SL7EmsaULHsyQaTV
b2pMnycAbsdPHpuhv7bxfp8fCE9tXjyTz9Dy/H6/nW2u1WihG6xqWim/VzQ8hi1+fXMrBtY5J8xy
EtCIl9RzDB9Wq3e7sbXGLVkHxh6V0bBHPyAfzJi97xrKRrqRSlybTtE7m7gfhzNfugnwHswSliJV
yOjD8DbRzUWfWXTpHUqDkfO+SE9bt4d+WcHy8mpaq167zSujx14t12idEIHBm3A3mSbi87zmWJA1
nCjdRBKIIDtoHXouTglJcsG3Es++inGSnFPsc8Er5NxVnc43qtH+VEVFx3s4qnwzI2U763xiixLF
P8Y1hr9UNN9dsxCggAskI1rTb1p04XvbbM8QEKj7sZzs6yHsjL0GUm5b4VODQoLxKu8Me9dmvFti
rI1zDwDXNrXIVR3BLN1YgkaxDa/hjDiKaUsJwkRdOLXGeRjiIa1gd60jDp3XmJ6G774qput+tjpQ
TCHh66JPGS+ZXxZZ/Je47mS6KWB53sMOdqzNMBsvUo4ce53WVj+1Bpvfekxz9eCbiRfvRlfZ132v
84eWG0x1+ryCooU7XlFHcSfH3eAaVNTuQosehR0V25BCSr3m9yF0cpQg7jbVLtLIflH0SqApqyX1
Fs/XbL74pe+gdiTz3O605ItCOnWiT3AZEeXwDSsH+wUNv/RX8dDMQdro4yqFvTtC9ZnVQ6fz94qR
30EZMjsUvtM+JMtXBzuVOC28jgWrGEKO5dLYIyaKyUk3Ef2UvBe+JDB4AC+8r0xcbysHqefap0qx
9SiVwcnJvejgoCkIYB0xgDm766ZJ1X4oMKOmTtrfZtXc3SrOFKCg/JaJ4SVkAEdTtTghsgO+ZXtF
H6jb9oCdLz2f24nZyAg3BajFDSVccaEGP8WjaroFsSVNAsi2SSi8kvVm3Ngkl8HOTfTbxes2rpaT
xSV5K+k+jmhDGbYMv1GTsXxmiRZemIMPAhKVrOhWtlF2CKlC+xLtsbkhm8Vdk3VjH6ZaNmcNxeEb
zqL9ievX7lWoWdq+rWMLaWERnQ2288DZEXyJiNsBKFuvA0dtXPOkkcjcOuLixjVesfCbGjv04vXA
sc2iSLCvoLX+tNPM+wl9Tq1brR1OJdXKbzGF+i06H9ug8+bpW43qB7hGf7kfoZ65G2MeiSJuuZNt
P+bbOAIlTPNuCqhkmGd5FNl3oH2oB04eVXOLOPi9h0B4T9LS8MUzw/6JqlJ8jUFMxx1s5i6F3RHq
jkh6OIpACL8bWasOTdEVF501Ds+Y10qCkCL/cjRm6w5GD+rmtoUANTb0FAYzmq4sSjy7qJbeVZrI
8hl32YCLexqvRoJqL0YUjGfkk03nbeM7p1kNJMlonH5N3rl7W08Wbl3Y7QEAHK9fY0pggMZYFq/c
DNW1nKl5rmY9zMQKGZ+zAc9N6lM46D9twmGLVZxX8W0j+5Q6otsGRs8ilGlFu2dqwBaGrbGrp7rd
q2qIik1bI01jC2tvO91u0OC5cwrnrcECA5AlWkV9zt90whh9ny9CCLIwafm10Z1pVPNhyqbmFLQn
J0cnpGSQuqWerpwi9U9Qdzi7Kk3djbAj/8RpfRBGdGy2tR5pexlnScEFWMwJiiNQqHxdbfVJypO/
oU8x1cVdGIfaVoRdKLemTlpfHyruw1ixSzNxzFyVuaQA3yjFMtZn15g/4VHSRl0rVoGnJPHnbdUL
ESgzxVigYwcgesw5fUUaDVVCsdFDFffcZpXxTYkSHnAOWucnMqP8YWpH2MqGDo9qISCZpesQUgi6
aBoxEpFDKBZIFYEjrYcWEgQEtBjmMLaESaH1pscAOHUZkiYH1gkgaeSiTSaGBitfuHcZ1W0xKsJ+
nJj/qy0tjXQyeD2vtC3KyuYN0EbINHZcPfRJUeyV35V7gFkhCiBDZ5usF2tKOP5aHxcWT9U9o55X
J8AjMP9EXepsvDDTl501AuFJ9hc+LmpgUqTnUaDyk3NK2P25oS1Ji8Bsx4BY5MmkSIxVVBIJib/Z
w5KVtsaIgr9yVbcgLNkxljU/WKdTHPgJshwDyfaXV5ByYi/gNESpydqpvZKjxMIuIBiRYRMYZodx
pkeEU7KHDNdod3XikrigjTx6z5pJQxFQyrrcin+8ApuyBSZVSNc5DY2K1BS3JWWkidAuN6Hm7Tn6
EgxKZ+lhIP9yX5YNmLDG1baOLX0QpYC/ole82/Kxa30ApVoK6mxwgbFZBmSjyqd9Rk72eGXJyX42
oAtsy5oJ7oZ2diBUG9EijMotCsvyJeUbfoJ8q70jE3h+YCJFV7QIokuVdj7+byirrk1FK5G4ODxp
uV8Up19S8RIzPMuHMpr+BjPRqBmvlMrIJ9T0/qUvQ+2+wCkLYI1m/8bT3H+eU0Yz/eek82NH26Iy
atfGBbgy7S4KMxYZawF/5ma31Zwx+Vp2Lb3Rqh93mt45j1Y32Y+91OzH1KmnC75U7o6YJ20zJYm2
QVUK4i8k03aONHlTxUW5pXZTbLXMGi9e77pyAGcvmJNLM9N3elkiDUfleepIEMdNhaa27OZhXTER
d6NT6afEo5Xbcuk4FZOytnVDQOgodZuXmJbloQNzdRl6RnSCNp/2wOtcnj0DCL9m4xxg6306e8l4
Idoy3EIZjdaGrfqGoPMyu9SbtDjBUeJ+8bGm7FXI7nblJXwM9dnm8c/kCWUtPiajwTwYDb6FjG8C
ueXMxkINg0ie4XVgUZhOzDosL4Wc501SOV0E5queHnSEmc6qnId0O3dTCxMPZRR6t5S8OJFeWph/
dpibkZZ3BYi/YR6vDIJk6TPV4yVYAj7d5P+pvaBFYtHHLAQWcPRxSCfw9mz5NvUn1OoxDYd2C59W
5Zj+SlFWdx1BEbuOBYc9ELzWU8M21WUD1Q+Jm9ujSoWvRru5PiCwXPLRqDiumqzU7lpdx2/lFfgs
0WXQee2B9OlRy6upHGLsSFFEz+H1DUDOugcSZpT5gw4JcVvU+LlhnhjfXlnldgF/2saO+G1C3tKt
xgRps2YvSP+WFzPB4HrARTFfIyQTB3ewp60HqufEm0xIZtbUw7EvfLcfYRbQT13Rk56vdXK+45Vm
wVdYh/zDHQHMEeJ+wGtnndLS9dJ6vUotoyTReG7CoDVSe5/o1nySeqGLmybZL1d0KSiXrmGTxRf0
qukNdElxa46Z3IKWLrdzHWu0WColsXqTCT+VE4mkZtncWr2Fpi5LtFOAtlddPQn0m2BCh1R78Rol
doZdfkGCjpg1ncIzLgO9sF6xcjpRK3eeJ4dtBSVtH4ZgXUv2Jaew+SXpDY0utuwQYziyTrFWyA1M
UGH0ad3iuyi17yD5LuliWDtzHIpl39aceLFAWjwnd0MVz2vpkafMarXnRiyUIbrdEZhtVJ7eF60k
lEqlC8QhoVK+wU4WrTILHqjuKXwqDjXoXNRcb1kTJL3qKHGwYkPwrcPzuoyjddZjkHGTnM5NRQNo
P89p/BR1vRNkowGJf+pGpOqEq9/WeJpJ9410GgWYXk/j1K2vSqwwX7SI+Gm+6uSXazWs3F4Q4GCg
gt7kXp2ddP00H8zEz/Y2efGBFmcO3N6osa9sT85XaeTK2zpKsi2AbgGed1y6NjOeg1HIxTkUUz33
53SHZ5X6n54nhyg1JviXqvnmy7k4NUjoBbuYO77cDFWEemPnEXKXnbblN7b3+JzITj83/E4BrzCd
6rpvUmgkJqSMq3CeqhM10YRLNToJykMIbhaFDsIeW14EE5WnuBlD55uNV2JY9/E8XdpEqV+Xjqp2
HYllX13J/mpFG8q8mDxffc3yWBwygokfw0nA5WjKznrQly+kaxQEBcZeHIxl2Z3GiUcznSbdY6ks
JxhVMxxyJ+pPB4AW35W91NNjg4eLrCe86kVd/Chaoa9717CfYZ1WJq9ILQ5GZsLFUBS/XOK8YBH2
2DdofNjddtKUfW+V9PnBb2P9Sfo+vqi06SXrhffFrAR2CX/21lGUzzuyFNJ1iudnxR5vxmUTFwCV
O20cNu4kWcnSPA3SGlJC7QpsSzlf28PEqYKUF2teDYa3iVosCm1S3CGR+DKWCgc1q/yKKrGHcQ+s
bGbUj9JKrU0GsCtZofKBcuGwM95XvlvcVVkBZmTOzRMpASyzny/Al1sgjWuv0wKrHbQi4Ljkai+T
yrt6NUh8kZ3rPSiNjEvOnd6eU8ywMrUkvAdWqM74KOZXbBXT59Gwqvu0yZovdVePYl9rDk6QJGyS
bN9XCF1WWcaWxgZEdm1bxlCS9wpCMJOuSctYDgTIm91LNHggdqkln41oi08tdrbfSxzj6ykURF9p
2cVcka2KokLL9yqDgj7wqM6yvh7ild/U6sI2vegiZTOEWzVP2y3ywgYePz65VqbmDe//D1Uikun4
pvn0qk088qGaD35FGybTKTLYZH89jLK1+HAJY2uURXjd1lb1zdLqJ9BAwxOhBbdzR9zCToBF3GiU
cPZpM7Oy15qFr6vLb9H5DEs7vpE3DhZHnFYulP2403dz33fgG+mral5l7+PYFWdm5sJAzGQnTuLC
52yamtE3CJFoBVkJV46lRTChR3HHUYfvCXS3p7AQ+gaCyKM92sOpXhvmnr9ikmnVqFs7sX+I3JOX
PfVkQufCftdnsOm5b1N67vszLB5gGrh9PG9PEu3SPPa5KVYoHkUf23dJX6EG6BJeWEma61Cyp5pi
1985mrNXaKauOIM8sCBnl2M9u4emgeGhBuVu67wMnysfdkEuBy8gJz29IGcWzrajcYoxJbtbrFTN
OuqH8qZEQMEOl2D6olB4TqfiOkw090o0+ATd1DUvjLi3fhpRSV8d3ctWdkl0CMu4uyydMT7L0dTc
2gjRS1pkc4gpBoYdAqis3Rcst9u+turNrEb9Ogw7N8gR3+BwyKr91Fv5rWLFXXXjgk/xe30v8+4u
6tBqjEJ3D1ZUTXs1yKfYL0WQRjFfLDaCBxZSjaa+35+xlROHwYap3kZNxv63Kn92Ku0JqVb1N4ts
nq+tpzog3RGC0G+Vnqb6qVF34ak3hOmGasnAZGvNu87URjKXydj1L5JcRuTwlk0zrixZ1c6uKUd4
RF4s/YsSGBJYBBqHhTOhyEuWsC1KWHeu2b6MI74LfWarIhtL4r8cvguHUwMZywVcLYdDElVNuM/Q
bVHwGFuOE4EGN/7A++98wTDyUAC8X9shgCZ2hfmGcsf31kwALesTUrKU7+s0DEE3us+CI8iYzmeO
1K/ZQ2FkxMu31jrP+G77+XBqV461dRuLQgp6wkvYCEHva+HPGGTNlaNr5nU7+j+b0dYe8Mm096Yp
ZLxx2qrB0y3HcNN6hiCU2qn2uj8CNEqacuOqCMsNmUGf5Ii914NAM+v6tkdrAFn371VQd8Qq2GNh
DAZoL6teoxiX1BVzstlzHi8+aQy8Vy3XhY+2kq6AC2ng99HE6IzskwTV8opquU6M0SopxLjNozrf
fFzJfm8otNPI0R3TcVj6fh9Kb92a8iOF+SH2orsxtflkoHo611WffVJMfq99ZJhiIaz4PiMe3UN0
yvqEQ08GpSy7syxX4N5IqF6HTF6wbWOxr3om159fHyIXVFR4GIlXOxrUSULD1Kqk/bvxYBIVsXIl
JTvOpJ91Unxu1e+VctPnhaZJJWhy2G86KSz+c11r6HmmmMxqOCkpi5uXnmQmFc2c8sdV/driyef4
vMtp8Xx8qe91clD/0ixe7DjmMcJwiuw6BqzVBlj/KMCXXKDbDPcfD/L2RUDw61DVpCPnc5o4mpq2
UwPcr/wmiAxMP6pS7nowsuYs11JY2bVffjI/317Uq98B84MJn1Ecd+MadjreVFtNUJQja4Y7XYvY
EJ+83W9fAoseOuppqi3YL16dOb+0jHzcc7PM8iZIVLSEQ6OwwEp4JlLKix/fvndG4iI8B3+H4Swi
7t9fN78FlTFNXhXQ7EReprWn1iTuapk+fDzOO4/JELaJncRZFqwFXPRrE8yti8zypaiCOdG3Mn/W
4Lii31oQ5Z/YwMy30976baijFYRjo7tkHVVBB+9sY5d2tCoGoQiU9HtCzPpyvp/Q1e0dSpJy09gU
3HQJxRlhF3K42VTblIbM3mw52RYS4wi1XBDpjpfWB2WNRLMM8Xwe5mzN7Ka0iFeggMtWR21zU6Xq
IPp8vBiqjqLSRNLlmpMv3AJ0cJ9cqA21+Oj95qWi1A7iyYGhedz+zvNZg1LScU/bWD36RalfGL13
M7lu8lzMHa75HKkTCPKvknTYncCwSxvJPVm8obCEkCc1Nbq17r4I2asAliMYp7ipB+98DjnrFVWG
0DUbKAEkliCQLUUYGg3odgG3iYOWat16tCs7oN00bJTyTFiAWbrhVC3OMhstQ5r5gPzo4G78aFjP
Iho3Nlfoc7dMja3c3OrfRAjg+4/nmok0HwUHXWy+wkdzLSx6jCxy4r6kWnvWG751wlMfgyiVxMqM
oTUEHw/4VgKBJhZyswNcR19ymn+f3KT49P1QF1XgL3JESiDFtomkOnOtWu1DL1JniFz1O5ucv78V
Tv+xY//O68sCq7su+mLSGY9fXxlNvRZ3Llb2ZJq+9O5gPDWUYO+Idk1f/vgi6bmyGnH84L/Hqzmt
CraAU1cGRS8pVBKBJKmgdHjT01KeuG2WeOuWnte0GkzqaB8P/s51orSwsK5BieejdqT0EPD0OAmW
ZdCGiGabobyLxiV7MJ3kJx+ttyPZyyJlCBRGAs7R0YLIsayNiFoEGON5j9NUDhvTQ5ktc8v642mK
AAHBFMIoNgRg3X6fNXVbVV3Udzmtvm7YzC61ECu9HAbH3XEW/PGnN9DGPIaZD08QjZ3jzxbYn7q0
84bLcgor0OqprCjrU2Ztcyv7zAX8drFnMMQOiAUcekzHn6+Gdm3sdgVXptl3saU9Yrz/kY7WXTS4
n6gSlnf59z0OQ7FTdLk0Pi/HJKrCipOp1OiNEuS3tShf+JWTQwzq59W85F/l5me7qvdH9BGnYH9c
jAi/PzbNxmxdLSM2Rn/I/Pq5mow7S2aQNMGcr+LO/FPmNGI+pDiksHpAt2jA/D6g06JEUqHIAq3r
DoApA7gAl4mrfzLM243NMgy7NQDh7D6O9/i9p49Jwp8Oes1cIlRL+6Qe+SJ+PA/fLpWMYixgQ4Tv
7ptYWzKlxjJNjSyQFodMDl+kMHQ/Relepw08z86b19ZUfbJKmm+/lIzKwoHjDHY7Lrbfb2FYzGTm
xOzvfYfk1yGH4bku64xgFp/G2VzSV4I8QzCPVtlZvBazX1OJ1sVejU10gjky3w1si+bJaW4Am4D9
qWs2B8u2AFCMc4pSxb33TWKRI9U6n/z6dx8MUdnMOAPG4fGDoUsYL2CWPKBgVG7TyU8P2kjp4eMH
8966R0LccsrDa/xmy1nYDZ+RqMqDUokcSmwf6Jlx5wn12a7lnRfW8V32tqxDLqq23x+FI3KrrIFZ
B+ZYW/SWw/hkdPVx9/HVvLcCuWwBPNIb4MEfa0TnVDfHqNMy+vlkQPWCz9TodKTQtPm3PrX/fBfN
AQuZKJ8MlPP68UmLtFi3RwORcagLfyz3TibudSHDx4+v6r2Xx+NtF0hyORgcT+OxzUpjrnh58sTx
4K8YVL1D5wf1z2onI8f7PuRk0nOA/8dB+x+3Ge+teShi4Trw8X176KGaoceW3WdBFJmXqtTIHIp2
dfpQp/Mty/X+48t8b8Jz7DGZ7Isj/fhuEh+MqguCS1BHdbYvXEdcDyY5hh+P8ibhnAQEnZsoTD5H
FjLno3XV78yxc6iCBV436A+I7audhuJ4FaY4IiiXi+EezX217irVXzZTmV04ubD2uMet7TyBFHKi
tAYpTSoriUa0SLsu/ewIbbx75wWaO95MnLbHGx8ZtroDxp6vzWhTuVPNs6H8ao3QoyV3wnvsRvSK
oo6pK5ZW8pANfXsS+tUTADyyepa8woGECnSlPkRADaxQzHV8fCPfeddoM7EFJcEEmsrxBzEX/IZk
ZLuNiehHPRtYpGr0TSEIwGp6/nisd24HPmRebGepnbDr/n31MMlrxlqs2NqHxg8dCeKmcPTndsrL
QPhlSqyZqz7ZYbzz0hkGRXR2NHyx3myxe5lPo4wqLi91vsRJRH41jXRKi3JeWeQZ3jdyaDY0SPvg
z6/VMNA1o3Fkg3i8UtqajwIISlbAWe2CVDxJoSi/pkAWkQUZPWBGjT7Z+773JLm1lAEAj2KUXW7F
L2UH3pVBtXZTBZoeNWuswjQKS0tdD8QEB+B4PxvvnW8OF8geCp4JCu7XN/SX8XDR2uCouLVjH1FM
tAGa603VbCxEap9c2rtD+QvCwmXD6B1/RGthQ4MqOaIZflVeOXmDE1so9zTpDOOT5eu9OQqFhukJ
W5Ti29Ec7VGplDOVgQBn9x052C8EcdzlLc8viZprD7zaHx+OWMAwXZjgM0inOX4BjZHyt9nOZTCb
M7IbMdzITm5q6gCfDPTOwozIHoyIhRYdG8dyk395XvUMOE/HNx7kkfMYjeBU5+bu40nvWPyNow39
b2Mcr8pamqW2zRhobI0V3L36QKi7c2N2LrHrOciKJNIJExtkjZ0JwlM1SEH/nvZJ50E8HYiF2Moy
oflij4hSLMPYDhBySLxR8jDbdnxt+tG4LicyzeDzl/uiRS/B6XbCRx2FeJ49bAv6SLyfgRF4hcfV
uJn9Av1DaYAVq4pW7vW+CX0OUGN0meY6u8P/Zu9MluNGsi79KmX/ulGGeTDr3gAxksFZEocNjKIo
OCbHDAfw9P2BqaySmGqpctlmZZaLzBSpiEAA7n7vPec71RqnmqftlZg8scedNh8LB9XUaInyYtTa
8QAJ6ENKpEnEFc53Jb2iNRDCqw/ohYidUEu9BR3poN/LFZhcK41Wi+/u15f3Z/fmG52J+wRM0fv1
k7Dwpp9d7k2Ue8/N1D/7or6yLW2HJ5oYSmz0v369nz12nLk57CHoxyLy7llwxCwbK5nloW/E2nO6
VGZ+VL38zeH1ry0/m14pvWbOJrTp3ggR392YIBuF1U6BPKDrvIGx3CLj8V+a/CNzoQtmxNHgmE8J
TKZffzrr569LlxbeFcX1+wNZUJdNWSuHnkg1Lw9i0nEJtbZ2g/ZcL7aMsalxmtWd2+djsynI3WLe
JFnIG3M8OghvHeBYR0sftJ3R2zKK0Wpxw9V7RhAMlYLss2OMFOoT6hxC3JNN0BsuvRdvwakc35HZ
0UX+4sBf6DM7J4ePQLuM94OztH5Fhg3+BULrvsaZvcPRxf8v8eYLwDBbj7TfTw3gvt98FT/7xqGB
gJs2aTNYxnrJvvsqUr1zSpmP8qD3zzMGnhAW6z43+vE3d9bP1qLvXuf9wWisx7KoAiUPvlPoETzd
ISI5bfvrL/hnG6JreW+UEsT6b0T87z6M3uCLbOxWHrCh+NEMSoxi/L7KsXGKbv6N6eynL0a/kpol
wN32/tjrtixGEk8qkhi3pBJd9qMNczJBEGAR+/DrT/azhcCl7c9ugWXvL4dfslEsN0PYcACZf2N2
nhuRLX6P6/S1TxkjCvc3V9L42X2xjqEoYJnqee/nNEtHPJVvc07LpoL87cU0zvylVUeTXvymsjRx
sOuGjNQ6sG6Bc4rDnKAzxiIvL/zEz3dBZc8fPVT6KKZjMPy/uR4/fXssiLSR6N/+JT5MTXGn5YJj
jmrqVytIPglzvCssRru/vu4/fR3Pp1Kk/F1dLD8+Ht2ozQJiRHmgEq3p5vTPctbUphra32ykPzu2
0pxijgqHL+CfH1/IUgGiauRQhx4ZtwAm6Ct501bOWeYbV0XVfCiL4DeNip/dwN+95PsDawbfGdmM
Xh40Ne2ToXoN7AK9qXvWVuNvag7rZ/cvFSlDMo6P1MLv2gi98knSmrySZcacn3pRf1VpsGamGD6Y
hyyJ1kTdqGRFxnW9yn81YxVLtehwgMreQ5AR93EDbnQwERFjNEH6L/r2LlmCagNAGMs3YO3d5Cn/
k++wagKI79AwaB3YnnxtbVbmV12ZKMxJEJ5q/Smrhkum4/W258iXEp8UlrOVbodyNu9qdJBs9qbz
m7vpZ1chWJ26tDi4b99bsoqi7jqJZPiwQAIDXWKEvW7fE7d6Ts/0vk9n9ZsX/NlXvJolmF17NFvf
X/Y6MxIQtzwmaQM0e6yHFg//mudrJbDJw26Vif76gfnJR2RfX93GAbaYv1SXgTv7MA2s4pAHib0V
BNpdSMEJbc6q7j4DEXNAFfT516/55uB8dwhlcE7GickjSmn77u5KNIgjrl+UB7dcQMSpwb2zhTFG
0pqdc1EVxae3KKfMRkD1phqGell8Koel3/Yoe/aaUghYf/OmftLExKdI12ddtQkFNH98opPJWep4
5Inulhh1mZXYOzRi1q6L224feK4VcqcgZnKKbZC0IpqZySCGto3Nr9/IG43v/dXBF75GplLmQIf8
8Y3omCXdsk9LfMsZweNvUuPUIiwauaN0zvm6vGOfIRDE9dCFSUETGZgRc1QSuMdrZSl9N88xAc02
B28TvvoDx2K5F4pbChNDvkNn4+xRyb7O6CNZsset7WZii3zP3rSa7A/CbaB1i8GDFnFuVrl1l1ty
uuKxxRcy8yDcC38Izgrde9QhX/+mMP/JGs6WCfeQAQBnv/eNI9ptWdH1Fp+/yKc7gVLkACg9vU8N
Tex+fa1/9lJoIdEa4EZn21hPQd8dQBg6NU25bktBZYlN3firwWaq87NAFMn9r1/r7Xt7/72u3d+V
oco2+L78l5pbDArM5KEeiZgLewbG+C8WktpiAsc20iuMc4NIt+t+MtWlaWrJjdmDn7Ktot7XkJT/
OEr+LdrnRfrSVl31tf/f66+9VPUM3Er0b7y4f//XhwopaPnLH9m/Visqs3v/Qz/8tXDnvr27lbD5
w39s38ALN8NrO9++dijq/0TWrT/5n/7hN2bnb2ifNF/W7+ZfKIG/0D7XtBhOBOn3BIdvv/RnVAwR
UgHcBoamNA25q/7MiXH+CT2Bhc3/HvOp/9OlDwO+lk4MA+z1xb9hPi2XBCnmahyBDUifdGP/DuaT
CSD363e3GE8MrSVmMUyQLfqZ70OIW8bSzdAkAn+MPjVokBJ37OG5xXhLa9cGVpeU3qXmONVtyozy
cmFNCBu/1DE8BEO2Ncg9u8vwv8zbFiH/lYBilSNzlkSee+1+AvB31suBKNExrZuN408+wVJxYIOY
y5W3w04nzkfocCc9Iag4rMziVBOUcu1Vlr8v9UDsYy/28L3CrI+SUkPVBzx4v6SiPeb0e0gXBsq/
oLjQInwy1PCl8k0oUqZ7nw5oyCOvNLMI9jBANFBC6MjN/jDKKr6lkrBVCFRvOg6rhWupnr28QGyR
W1Am2snvt/xAslWjO+1In3KvVDz5YPZcUv6I2az0ozHHNpmgpvaiYHl/9eo0uLKIfzpWWABek8mM
wamRPHWdonxG9Gq1t3Znq7Ms91YdOCDoMrIy8zXTKz3CTbqEdYGWCbxF4l4mukzO0WtrL9JFvRAa
dWVeaksjj3PaPIxkrdxmynT3ufDHj6Lu+7sg6KcyLLSl/WzHXvLQajCBqbXtOcTXmgEVk8ESDr48
FnrupaFJwBT9lSD3IhODy3MzT2qITFvds+2ZXGlZfC5wNh8Iuu3xWKTpy6IPxSnV2yttSZyzvO1r
WIjLcl7HBdux4+G2mfwOJo6brvi2eTBbvtQkf8DURTgYV2ngb+PYtjM7qzifDWyIbVW6fFDCSzmw
xMMJ9qyGt1YX+6khGLaStrjP+xQcN0FAaF7mqaq2jCEwWGmxgxdAwHqiD8UNiDvVHi4GGykLcwLd
yvHCjaRpLjjX8OSSjqM6KWCVW/DbnWBSX8G/DRDGJ/B/KKU7ivNMyOvUdcAaNrN3StoKEhM0NnTH
fnlRY3c5mXSxiI0oFQG9lEEeMK2qTj7FpJW4hCAk9udmUjbintpxV4IqP1VzDOdQmHibEQflpvKl
cbmUTnCTxDOqYBRLtUAgLeZx47YOEt5gfJGelR/1tkOhnmma2Iwd4ZY2+bDncCHQgmdBLz8GVRY/
aKWbaGcxLIpsi9TY+NIovRtCoavhdlwUYJZxzo3HPihiGSWyGW6MQTZP7aybEdZd4zlvrXaMxrmf
bzuF7PtgWzmtvdYHQJ+aZNsGpTUhigRtR0hHbFifrFEX540u7M8DKUcSUAM3bYQVi7loIv2njIz3
C6wks06QD622ZcwrDQaRBzXSFsQ5ojzvqp0vZPnsJCL4SM7UZ7iF9catW+sCz8D86tTtTLIA8XFy
G/uxfMiSoTNQhWc9ftlCto+9RzcgJIS4hm5Q9ZtSG8HrkxEcnIQ59Ru8NTdGx6EJzRTPc6ujGp9p
CW39ol6ikulCuIzrMNKu040tgmG7MNM5w0LqnTl6B1TXEhlxsj5ZLdUwsKy16PHQWTNRGQs7vTVH
1OxVqucTNMI+tre21+qPJqXrdrFZUUdTr8n3lWVK2iQhPMdktprL3I5X03RlkV3nM+QPY6/M7vM0
a/CDGb2F/IRMrmOcTNKPfE3VT2RC1e3B1qiQMIkmcYhWtruyu1Z7qRwPmxiWq/F6bmYwevkiSKAl
zKENqf5Hpmj4Z101q9emEOpxtqVxYZHXUG57hd91NVvh5AliqwGfH8Qgv8x6JbMpmq+mpkxcTfVd
knf1hp4pZm6XRDwAaVATpXdm45DdjDRKbgLAgZDwSfXLcpbNyrCb/aSXH2DQDfuuJcUopU81hmSP
0iHW8llGQQ8Tq9Gn5ctijXSHR8NtaD4MJDtVYjTDQgclNOlGMQ7nqGVcWvUMJer0ftESWhczbNFc
f/DnnGCOULSW0fcPA5a/7CqeSCQyg8y9MjIV78jsBlVXFvqta3jJNcviBP0/X46Q+z85tpS3DWXW
7WB0MVm5aRZ/Uq2LpUxr/SHE2qfOxJzkn3zpEnTYUU3cYliU1/owldfUgWSxJOWaKZ/bl0FSQjYc
F3ObEULKss2WF03lnF4OMAx3jQ+lZmN1ZXmZ4ZJ+IBCDZmMHlStcURo86gESGRrW7qkxePvL1JsX
+CZjBiRLH99hynKPmFMUPgMNqbkYY/FqLdp8JbVkwFesNRWemjm+DKq6vlu4x48JH/ylTpvliHPY
2WNkAsIRN8tTTt3NXLIB3pQYxbzLbPw1k9Ejy+wZo+a9w3o0pMZyTlmAsYS8yahU2XVTDG3oNKZ1
FVdFZ7PI5vGtWuJj5WbmRUs8M5bSxfZ41obqmhTUdL9ezw84N4xTkC1wUWzNw/DSakThjqO1NU0F
NSFYxJe4t9NDOmlKC9tmqnkdvZ/P5sWbb8y8VbDSguA4GkP3CTZbeT0aznjgeYLnjfQS52DtBSVf
EcS9ECWtvukzKVQ0WEFzowCRYGDJLAzF1BJb4RB9nDWFfYWaLb5YvGA6dmyMsCA5UMvAf9ErOKVG
Z5k4aHCcPKRDIZ50FefHriLnWFpCg3E5stRw+wk2abuwnGhVLO/SMcuvGf2qp9rz1CanU/xowua7
MkEH05RYF02aQma6X9CYLduWLPvqTs7BQ2riUNyO+NDqcwYEgxHpsCAFriAVPKZanN85BrTJa7ft
0K0jpCdhGkNe7kRlZjT6CXlSyj4WGFJvwrkHikf4bsCVr8xlvmubZIPMBkO+hW9oVweuFwkJFSTK
EnWzGGaVnfctfqPD0GviwQHjBGbQ5RGPZuzDzrZVC2aoMHenZnEvDGOaRtxhSZ7qwxm3rNnmSG6l
qzHQiJdHzr7TPQGY8iUbJ/NT0A/eB2B+WGCb9EMjvXlbWk159JqOufkwlgBG1ujL5ZEFEAiCeM56
99Eb1PDZqjpOEHbLmLVzhkcvQD7ven5x3RjFFg+NduLLwfHeYmqUed98tRZnJJ+lblbLfGPhXUqH
tDi0xH/cWI7K52iA6N6EdRskyQffHdptycjuRiycd5CuK6fUwre64G+VUP9BcfSfVVn/H5VQho1m
4lcl1PHLs6i+r5++/cafcQkGnDubAS4tDqSZdDr+VULRifonJbJBF/tdGUXNpaMaRaBDjDT9e4qf
b2WUbZCWgGaHLAWOArTOrL9TRv2hlv++jFr/BmRG6OdWUPtfpAG5AYDf8WL3Eq8PevRYTs05t/Zs
bjXfmNeY2MlEcC/PJj1wi7slrZ3gM1aYVwGb+c72chYNo7I+INDiYfG09JyEJtaUwvTp4tXSJSGB
Iy2tUDL4CLzVijX8ViQQrD4So8JWJ//A/kNI6PbjWGTZpWeKoOG+L/xd2gl5LOPZirxsIEWLKMuN
pBO1QQzg7ETKGHubBcMN9gwKqIz17VRYdX3qBrPfz+7YnJlBq76wiT7ZZe9/sYNOf6Ro84hLSOun
tsz1yHZKlOxW9wzOaM1G8gV+e89sxTkc5+mg15W944vSLmWmxdPG88adgL/MwaP9I+XAqwfQbavJ
FQ+amarsShPCvB/n6WQPWPCMdCLyClnQ7dyB1cQUJzdkb94XThp8nDhoXk1ysva1GdxPk+9uxzXk
zxrLGzvTmoM9tOZlW5YQKXxrNaKl6akcK4U6S6QXgVY8B33jDFzreuvUbn7elHkAFlQbP7MjxMc5
dqwdcq/ilbwfhNZ07V8p3P0m8rsWobmZvg7UOttApdMD01clwyTNkrCp/SQCJ+s/meaQbx0vA3ni
V/dlWt43Gi8NEX/Bc6zGR3LXnC1Emmpr56kXObVXksGkyKgCxD46RmilQXnnLZPthrEu6uN6R35s
xs7d+UacUlEPRX7wzIEhCfyfnnc/ehupsb0yH7fceVMX1HehS1bfrZ0b+fU8dwtkUUE1i0ACmLip
UUbpk8OrWNWW5oG9t7MCCXmpWemdguh8csp6PonZtS4wO2X4UWN1rdqm3cmum176daRECJvVR0Ou
1V8D5H4kOSl6VqWXqRMY6/QwObI79TGu9XByVfJFmIUWgeRyDsLoJRCHofYwOQL3DtPe0y+VJMve
bQPi/Vpp6jJqXHy3id8Nn6xpJlupsWZzl1t5gz2dRLCNmQjcqsJ0Ilg5WhYSaBicQ5GfMnYDtAwR
se849NV0ShvelNcQRdktcwck2APrP+am+FoNS7UlKDE4eKi/T62jfXFpkoSWEBkYaVquodVyOIYP
AYDeqq1652V6cJ9SaYU4Y6mIZXpd+sCzUGfonzGFFzszNdyXnG0RBkM5isgdBXSEVnPC1ujVAzM1
61rLY2+D9jjeDX2FjVDmaj6v4Pr1kU+Nc0YIHUVSGWtiS3W9XHuOXW2XJpCR605MlCfLPHaclG4L
2j57v1DDJ0fgqgeWLGCLxzkk2iBJz7Xaom6F1VFyGOIjufB29NAsgi4qPdWESzvORAqMGefFeN6m
ZNZ+HMkICEfVGDtBL2kjAqgMbW/HF8KX7bXL4Z3gwfZDmmvuLeT4QyuthZwBHbbIREFF5Bjj9MIk
LzIuAfEqt7rOSmY2hjIgZxGrOt8RiVpflN1ofjCpZp9S3Wg2mguReFBMJ/0Z5NRR0te6m7KG4hVC
ucW056IEhaHLSt0kdtOe5qzOIhZP/bKjaMO5SmAtJZjFotAEGxAE+nFpjC8G2v7LGmnQ0TSIOSu7
wQ1TA6c1fl5M3XzJe7jaYhOnNQLseiba2LT6uyUQ8ysMAo5Vmjcz+SjtG29uOFq2WI03TApERA8j
36PEgy8fs5Dr5tKfp2KYPuLGhvVbYzZ2/dG90CfMxkiu1DFIhNrEeeA/WpXOuLVWRaRNmHNaG7rq
Jusc95FNcDlgntRejYxD30QkG2MFe/iaxVp1aUPyv+0a14gIw+X80ujPyVImW85HcA6rcdz7Y6fR
7Igb8Yg0qT+1ZXG72h7ORODKyGrb+twskv56wTS7U3AlrnWDllZHR64J+yFetjY4iH1pY4Azrcnf
QKujQPCE/YqoZNwqb3rhEAYPnjWzWFt8ImpdRzsJDd8oTmR1T5snjWyjXm5dX4Hctir3cfAFz4bl
4rOGT3w00nxiqDRoLFiJCpWT2k95wVGO0im9NDBH7Re9Mp5VSQjp1C8f44El3VSzeXBGnG2hTluI
gFlj2tT64h/h3N0uunGkCUsOKFWiu811zrKhxC29gQ52o+o8udcmCCDZUHbh7EpxzUwByCygE/VJ
T9zmLLAa7yzhTO6zgsbkMCpajl2vnzpPs26XZbgekrQPG+RH5wMXLHK49z5kJG6e4ZEhe8dN9+R8
yJNLJtcx8LXbfA641VRb+aFlrcBLmfhUPi5Id78vth11cKT78SnLkd1WbkdDQKcZIRc93WBvso88
UGI3lDhwkp60VpN4EWAgcXlKIPuwFcXqWaR6vddG3T1fxs57Mbyi+NwSinrpdO1NZ5XO3eLbH8m6
6C4xhzUnpSzv2PbawrzHowx0vPFjB2bizHHL52yBCCQywiuaPK324zrKGRZGc+GkJd0ZbKSByNPE
vu0SsjSJzqCVwM41hll2YyS1+agpCdCRXRlOgBGP9wYAo0OxjM6prFPiYVMgY1bWRLqpX+Wu/Ykq
0IZbVRKTJ3HMegDMPgR+UgNb8YlW9HuwRHAVdnoTv/pkCUcuHvu932EXUHQjDl1VLCdBF/ec8OqE
nmmXhl5HUgyBmc3Gdp3lK8GXH0AmycjMM+8uj3kLvZH3Ee+PrmlmXdD9lTTnjKcYfD0mPFtcZXUF
BEqbLxgznebYsD8WUHzOGmCNWxttGdgoEezSKY+f2mGe9vaUtk+TJskCD4YAihlqI08hJivc7knR
RCbDpjR2CYEb+YpOLAbxrA3OvGlnYiJJ9YYtEcwhrqvifOrPoXfZYDCqcry0iyqJhK9XkQCj8THT
XHnHoSon18Bnq3eM2AtTldNFqareYCqZ1JcFg8oSK9zen/T2QlkQa+TkaLDW7JK8UjPB1ypZdsxs
OCRxloJjVZl73Tj1dBR2YewmHznjnGVOpGz11BmstXjRnXqvlLFc1cpDHOW0xlm1tHLn+Gp6HvzY
L8KuIW47zjsXkEeRgANx58YmL3SZXiS8+Sd3HiNoJ91zmQTxhjfyFVJfs8tKuSqspQatrdN9itxc
OyT4cd3Ia3IyHQw7lxe41PPIym2Xfj3hWZFmJ7QSwB7agKDY0lyKc7wo022eZ1ece2nWrDpB0112
OuM0+n6xcQbcLUGnyGlTMHQ/xJamf2UM6IQ9Pp9w6BUgeAgCZLLScePo0W67Ir8haDi3UCLN0znp
33rUSPCSzDOGp8rokoM5kXTryaFm9jp3+VnbAeVMhNZtGlUA328YcDzAJ22DnTF4OPkX/car2ZDQ
MybZpaF642UiOYJW0MSCMJpFZMW5SfTHAnjqzp/iIYs38eiL6iUdyhGGUCkLiA7eJHLSLGLHT/Pz
fqKX+0HNI1et6r+QbkEAmuSkHGatC/0wCQvDo4WPqnrjQILzYNsncqP1cdaH2O6n19qtxReFpweu
Xuc88DvVk5bQXFvRUUeYmSBAjNGfNnrnp2fD6DcXTc1PV51bPdJvDIGctTteUbvIyTjdDMls7lOP
vO0wqSf5pY114wKgi390TWPhCaaYu/QG9wNZQHXYtI77xUZgEYekgtfnsROorbME7S3psxaRBGV7
ppV1eaMrITauVUFDqYQaDnbR++tqMG849ZkbuFHwBlVHCCtQIwADhb31CsckQKWzz1q95QiALYsG
MYFQDlnVVuhpvJ6e19XHKR3te4imDAe6tC49uq6aGTZ6kdOiUdmtwtkdpUU/PyonviLhissK6nC6
m1SQbMaM5mjUD4t+MdcQOrIeBB6GZtrEHfjnIYyT2r/y2YWxyEzNcMw6rBdhV8vybCqz7EPiF/1j
z9GTmqkbL2e5JHels3Q7f73YcSmyPU3odbJhluJSi0c0zpWEEOUOtX6cs665I7RJ74Gl8aMDIK5j
3rXyFmZgC2DEaD7RwzIejNpvHmTFQANAzMk2QY4yOdLB+5h1TTs0YOQyjFDigrK+G8XUEbIe19K7
GCZh30jRPHtLi9MZQRARSZrQl8hXOtt+CnyUrOsidq8IkiruM53QBJ/+7B7ktgF+ZQBBQynUf4Rj
o76MxBpFNUiG845M+w3vSO6wDPMQTq2kHerSnqRH2HLWAZpqbmLYnJ8XTn2c+DWUDnQb5+uGNq+A
bVSkt20ScBJrlpa2fDaYW0CfxtbEXHZU4KCOAtrLyRFkjINm8S4L0okA8brcTLr2ufCr5aNIoIaF
IPD5cNbMoqE7+Xyfs1SY3PlKj5bMW660mYkR7KN435tjcSvXc5K1cF+1C4kjNOigz5h5GtWcfCOw
ltVBZrGBOdsgG4LLyEHWcNqTsyLPUkniECsYyVIkwYDb6dKsbB4q9FblFRSWztoW6Mqti8ZgFyB/
rBM+MRtut0qyyfX5sgajqGsQXPTKBHkaKZSS+b6XUz19WJSWsb9qPQVvfz3oneWZ2wGekYcvBf2u
OueStCQ/QQMTbmR1RjXk4f8q7bETNgkZl0sy7WPNQ01flNNvdEbG+9E0gXRI25FEciqju/Pe+Fsz
QsuggajLRCM2HbKNCA04T95UHjVC4uLkySyt/ZiZZ1bu7DS73TnC2Poe5LRhIX6nJ91Z20Mm2+Tg
577rTV3/0dn5Ph/znQzkLb4S7wkZma7nQp54JwMpjbGRekyPuK7bS6/mrBgfiK/8+y9ioOv38HZj
ZHt/AZysnyh6R3VJzhvDTUpgEsmlV/0haflvS/I3qo6VnvPdF/IXUccm7fo2fen/UX39B3mfQ/k5
xRz1+iY7OX75P//zx+9/6096JHTQukOP4UOvx635b4mH5/2TFiXzBAxL7hqK4P7PP75FdFg+bUjK
NUiu6H6BffBH3zqU/JGPOwZTFYQfD/Gb+3c6lH+REtEFdeifrjwW4pDxi/yoW5ohMxpinnSwgUxw
kq9Fol1NM5M6niSJaLtM9bNOj7dBPDwYdAgyq/uNSi149zxzC2NUoYFpwdynVfv2vH8nnaqwQda+
n+iHirHzZWw/zAEdxjHfynKX5CbgPcZSm4DhMUMUHuI6YWJqkkiqzEd7BBvJKl5ryYW+aCGJdbs+
YIfxjEuWpji0KTI4h260kR1Hr1+wmvBDINqIztPyp6xjYeNfZ0atdjp/7JZqn1Loddp2doKDXWGH
IG+ckZs+SvhWel8NodZ2lrXR8wFtn8TeBbqDewJpmR+W7Ou2aZ0ng+J8nS03dt8RyLbmnXG6cRyq
NKu3OmgdJ1sbbgohh+1EZ8tke75xg0cDl3OXeM9LxztgaBMGLgw9BjFlE9AMFNuhYpTKaa8d8ttJ
iz8QebbGSzEh7eunITD1fVoM10nnnWeG/LwApUF3Q19MFXsXZnmowNGHlpQv5WQj98+Y8s66eoG9
skncoTuRg8QxTq+j2u14MbjGuXWVlOh03x6Z/y4uv1lcTIBSv5SMXb6qf1y8TunLD0OPb7/259BD
J6cH4wHw9reZx7py/JkRrTPc4HHSUXviDERU9u9FxeOXgJCAdyX23QOm9e9FxfgnKwq+CWwg3oqe
8P/OouKsu9z3U4/VFQE3wLExFEEaf8+7aaAjkgwis1Nrgjt5Bj2z0gZtr7e3ugg0GYQWPbtsxupV
daV2rExROy1pAJ48VColt0Tr5i+txdg60vTaIXBgHpfzSbrea9MW3iZl922XBgt84lI2UjWq2b7T
OrEQBReOg0ny5JcCBHwR6nOCxG6bc4YTwZWear13M1bDaEAvdvu2nu8s2YKjdzldMruwVJHynNua
OYDRrHRO2Dy5cO59D9nACBqPMIBkcXIAgYw+6eLfCU6KlYLKixDV3BqlDRIqzKBnw5DGz8HRI0N4
qd+njdcvw17Wow80r9PBAJ2ntLSQlujNC2Vfu/Oaer52zEKiL5lVxq/iBV6ekGx66cV/H8D/JHIL
246LxeL/rdm8fP3cwoL/YUv/9kvfHr/A+SfTvDeKkIPI217/vn89fvaaoLWSBbD+/xDRvj6y5Ndg
r/MCOgOrh/bbls7z8adG9dsR81exytiO3j1uPtnlMA2oPQhhcXhjP+7hhTVoyDpALpOYGIwCnSKK
AZdKxG6yWZ5GL7XnujymqyCE5inakHyViTirYKRbpSNF6aMikbz9CyLr3CtzFZlMb3qTfpWemG8q
FJOxxk4u6fBgryKV9k2vMq7SlaD300tzlbPQ3kHZUq8ilxozSwRn1LokF8WJCEFqdvrol2hsdHnd
r1KZ4E01k64Cmhb44xktMlQ10yqw0RsVE+Ah1irar4Jb8p/L29bsP0G9X44AHJHprIIdt3GWW3RA
7e1EiOuOMFyUMXE/bTVlkY5YBwuNVCuPmLJMW8CoHnOsnM7ekGbTs+eVkNu6CnaovcCHb5q6u2Zp
EfcM+YY50iu4AVYymrtAeMad5zTiluh00J+6DRVY0+V0ahNlnvym+8j4j1QrPOIemP/RMiPdqpcP
sidlTzemzzl8ZEIBxrw76NqYnppUIogF79w9pTSigN3zHX4s8qy89NUodlovlrOWcAr0S1gINsXo
e1EmqSkZ1WjpNREDQAKL5ErlWcaEaco3i3BIyKAsOeiqUqeJw8VJakZ6KYySs0lfqvluXiU+OcI7
MGK5SU9hAnBoNvICKqo62Z2cD7h5rGeWrOosC4z+Dk8P6Q1lrnEgM+t+jV4xaZ0zLrtYqFl3jeFp
GxkX8kbrdeuun+3+EfxA8XU2QWmZ45CuIbryquwc7dJKvR1Dr/6Ba4X8rZlkcN10fvlgtSkRPiCu
N7I39S1Rk8te6UQYaNSbqBa77sro6a5mUz9FgTViycy4cZIw0ILgxbIytJpNa3Ba0xZLEtJaiHxr
066/kd1IXowbNP12hi8Tlno17ny2ihD13zMdV/9cDmO6JxSqvrRbug2DJHJBM5cBA2Yy7SZDIxUN
cmd2qrEl46mu/YM+usVrRlb5tQ66kHsqWa5yJ6vrMHNi7cVHpVzStumMIGyUWzDD8pzhnERMjwME
VPE0Z28ipDzbZFrhPKRGqd+3UzadXHK4t8LuhovUq2knVXUz3rRasjw2JBg7oVbUE03rNPkQ2Llz
5Tc2IsQ62Y+jhzpV73qUh8Lc5o7VzzRjsEBxT0oPIWozLKHoJ+JTOxwDKKGkhsrZd+OjlWXxkfNB
e3ToBRWh3xj49mJmegyF27j8xDJSX8+yWA4yafQtUkqH0HGmayAVpdoPIyMvRjDEYIu5uSqTMrlq
hW1u3Ma1ngo0q3nIsz3dd8SHrxKAYb5DlmQlUS0LsD6ZIQ4OLEDy11ETMVP2VByNGgEkO1nP+lUW
WwaGXDICykstX0NuDXbe0HMr8tTtpolZSVL41UtZfSHJVPfDwS2nC2vxQGKnuQNqmAMENNix64Jt
BlIhjsgNnP4vd+fS28YNxPHv0nuIXXIf3EN7SZH2UqBtGvRoGE6gWpYtWZZf/fT9DUlZK3plSCYQ
DEofJazF2XnPf2Z+dpf1HJjb/OaWdeKglthq4VdPf9hFVf+9vju7uf9IcWK9uiUfT7/c0284Pf7p
khcnm57sp/XDanYtmwieO+DfT9X9XfX57O7ZPndfZv31avMn04zvH35d3l4j7eSQ7d2Hfz9u/Pya
6h+Ry9Xj5/X8aeYvmtnV2T/s2ewX1WP75fph/kjXjF+1H64+MUpqM//63K9W9dUvDGxcrzFcGLf/
jSOeLjLZvPFiJuXT3+kw3fy1fNXhcdSXtvZ3+kFHdoNIn1HmWYQfFXpR3nrG4nxzyVarbz/+0DgD
Jqlj0iE5LjlgoxbLG+qD4WM2Lxn2c3aWnEL8PMYSIyIdIsPbN3zdKfP6OW/dYJf9sDhEOaDrZCpY
UzMkoG+YbxYOoK6MCvhdxDI+0vv7X/9ieX+zkQaj2eXyZpz8CePY9pzLA5fPnrBjATcYrsacV8ZF
hpOxwECAVxM3OEkQycHd2wn8NAMf83qP+c6RLEChnDd2DBXOv9Kmtk2o8ZJ3gmDZbEv+VGb5TFGh
bw1p1gpRSVTAndZFBfCDeZxxgBUOEsEBYCS8IDmYpD2TA2YO0RBG2h1sYeQFbUSoh4aEZxEnuMZI
mz+50/SmkfmxMqAhzoD7BLRJMCYnst731wnZa9ypRDCo5VSoDVueySLT3re95ZgKaAWHrEjbXuQE
sqy65MG1XsC5RbzQsLqavaZS+om3zHnBVoaCEHi0JpJJHS/UTG8pJAICwdwRWuzxU8PhVe+xgjXk
AiiMtUw4lBMlUJNAkKCMVisONnwxWid4SuhGmm8pkHSJFTIq9N7I1FKGpCbVqI4KaZV7mUCQisJA
ULtJvJAJRDcYizFuGMUXeUWfs9B2tthfrJAIAdlHfg8mYCwRVNrYO0CljVnRW4nRpRzJuEuLdRkv
VIYBhJiadnfLMRX8YPg3HXo48Up0TxTpBWzbq+LIqT6T9YbGDSYXQ9FwiJD2qIB2ZCgH+0pSbBGZ
TxEVLAXCvAB9KhWaCkPZMiCSnHA4WRDhrUEWYAWbtKM6XrA4t9Gnf7+NaLCUBJGk29MtMxvhGbIg
QTvTuqNeUBdETGARTmUFwRKwjc3XDt0/lgS0IrOt6I1yuBNy1NkGUAEyya1MKzaGUHmQkmi8JZw+
pgJakd0waAxKqVtJ0WUbwLfXxT5ja6RYLDtIIhUyP6HHNnimgDDpO1JBnSQATRHsTBEvuNZ4ECbM
6TlgGzq8KWcbVjAp5QUMuJT/yqgwGNF3rNpOApFLRGcItj0TAFMOUp1eiKOcyoggCCu6P2VmTjhI
2FgtsFnEtGhN8myB3Ir8g6mW2VONApYRrV8Bk5q2jHWN2pQCNmBLdfeX+L5UBogeLXo/DO8cv3dc
AssoaMYmUyeVo475HXnP0lABn4BOENIodcoWZebAy6Apx5T4KmWb1AkBiEnLjy7SAQ05Zvb62e5A
IoUB9mSTQHqgBwMv6HOSiXJKqSD+ochCm5kBkKt9BX+81BnU8QCB0hB/1PtDBFwCdhIi7cnWSfZ4
rA8GWECAWxWoHZ08UGPASp1kZ9EHjDNuhunssncGWBEFOQDu4ejjBUogpY5RI+4fQGym5036BENj
yNk5chT6qq4NlbBSdegouTGilzmZL6w+FgUYDXVIAcLF/6TJJQqF8iJjgAgAs28sawj3NYDvCBqo
Ndsq2Up9VgD0S6kVIGEkqymIk5MGyNJmPf4gqEU6WxJvqPOLGMlWXFRg/AuTqskGpIyI9CqMRUDg
FzRksKM3pVDV6UHMVKlzCBHank0QDHOeVIM9kuIwFqGXBZlTpAeYrVqVWgFRBHjYMHvi9MwvImEk
o1oJHFPkqC9VAhFKqUCASGeZ5Q8W3xMBXAVcZiYqkVWToy4+pCBmSzPHgHDAagvSKslApg4D6IA9
rqH/SqIQRULg6eIodAW4PihJbr8tK2YyAPqGyLmjbywpSnVMwHRsXxwbVIZlVzIsaWv09kVhqCk7
srmQxuEoCvpsIs5qcdIUUQBSQYk53TKzicyjRiGSO2ajRLAX6rxDGb1WnDDCOWZjNPvddhmRsVok
YwJcnLlklK3CUWcV0tzxMifZG/AW4EoSvEaM7ZgKA8VVOsukxqyUCoDIijMm5I3AU9B927ABTE5m
IgdHzgC1QQ06fCztebpMxFQT1MkpZNxEkIdiJOMtc14YDMpT4GgpmlZnI6Z6MU+lAmAs2fkIAnNX
MhpLRF11JgzkRzVo4wLRi8XBAvenPsmWmQOIvKpiCCdzClhKq+3+AKNkAXWpRmxo0BfgZZQCHjh+
/wMa04PXxg5HjRgDdUXuIs3APqY03p9FBZdJhoThwmQIw8k0Yk1XMjFzbVkEdzwXHEGktAfkYvHt
fP3TfwAAAP//</cx:binary>
              </cx:geoCache>
            </cx:geography>
          </cx:layoutPr>
          <cx:valueColorPositions count="3"/>
        </cx:series>
      </cx:plotAreaRegion>
    </cx:plotArea>
    <cx:legend pos="r" align="min" overlay="0">
      <cx:spPr>
        <a:noFill/>
        <a:ln>
          <a:noFill/>
        </a:ln>
      </cx:spPr>
      <cx:txPr>
        <a:bodyPr spcFirstLastPara="1" vertOverflow="ellipsis" horzOverflow="overflow" wrap="square" lIns="0" tIns="0" rIns="0" bIns="0" anchor="ctr" anchorCtr="1"/>
        <a:lstStyle/>
        <a:p>
          <a:pPr algn="ctr" rtl="0">
            <a:defRPr sz="800">
              <a:solidFill>
                <a:srgbClr val="FF0000"/>
              </a:solidFill>
            </a:defRPr>
          </a:pPr>
          <a:endParaRPr lang="en-US" sz="800" b="0" i="0" u="none" strike="noStrike" baseline="0">
            <a:solidFill>
              <a:srgbClr val="FF0000"/>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2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20" dropStyle="combo" dx="31" fmlaLink="Pivot_Tables_Performance!$AE$25" fmlaRange="Pivot_Tables_Performance!$Z$3:$Z$22" noThreeD="1" sel="20" val="0"/>
</file>

<file path=xl/drawings/_rels/drawing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image" Target="../media/image10.emf"/><Relationship Id="rId26" Type="http://schemas.openxmlformats.org/officeDocument/2006/relationships/image" Target="../media/image16.png"/><Relationship Id="rId3" Type="http://schemas.openxmlformats.org/officeDocument/2006/relationships/chart" Target="../charts/chart1.xml"/><Relationship Id="rId21" Type="http://schemas.microsoft.com/office/2007/relationships/hdphoto" Target="../media/hdphoto1.wdp"/><Relationship Id="rId34" Type="http://schemas.openxmlformats.org/officeDocument/2006/relationships/image" Target="../media/image20.png"/><Relationship Id="rId7" Type="http://schemas.microsoft.com/office/2014/relationships/chartEx" Target="../charts/chartEx2.xml"/><Relationship Id="rId12" Type="http://schemas.openxmlformats.org/officeDocument/2006/relationships/image" Target="../media/image4.emf"/><Relationship Id="rId17" Type="http://schemas.openxmlformats.org/officeDocument/2006/relationships/image" Target="../media/image9.emf"/><Relationship Id="rId25" Type="http://schemas.openxmlformats.org/officeDocument/2006/relationships/image" Target="../media/image15.png"/><Relationship Id="rId33" Type="http://schemas.openxmlformats.org/officeDocument/2006/relationships/hyperlink" Target="https://web.facebook.com/adebayoolalekano" TargetMode="External"/><Relationship Id="rId2" Type="http://schemas.openxmlformats.org/officeDocument/2006/relationships/hyperlink" Target="#Performance!A1"/><Relationship Id="rId16" Type="http://schemas.openxmlformats.org/officeDocument/2006/relationships/image" Target="../media/image8.emf"/><Relationship Id="rId20" Type="http://schemas.openxmlformats.org/officeDocument/2006/relationships/image" Target="../media/image12.png"/><Relationship Id="rId29" Type="http://schemas.openxmlformats.org/officeDocument/2006/relationships/chart" Target="../charts/chart6.xml"/><Relationship Id="rId1" Type="http://schemas.openxmlformats.org/officeDocument/2006/relationships/hyperlink" Target="#Overview!A1"/><Relationship Id="rId6" Type="http://schemas.microsoft.com/office/2014/relationships/chartEx" Target="../charts/chartEx1.xml"/><Relationship Id="rId11" Type="http://schemas.openxmlformats.org/officeDocument/2006/relationships/image" Target="../media/image3.emf"/><Relationship Id="rId24" Type="http://schemas.microsoft.com/office/2007/relationships/hdphoto" Target="../media/hdphoto2.wdp"/><Relationship Id="rId32" Type="http://schemas.openxmlformats.org/officeDocument/2006/relationships/image" Target="../media/image19.png"/><Relationship Id="rId5" Type="http://schemas.openxmlformats.org/officeDocument/2006/relationships/chart" Target="../charts/chart3.xml"/><Relationship Id="rId15" Type="http://schemas.openxmlformats.org/officeDocument/2006/relationships/image" Target="../media/image7.emf"/><Relationship Id="rId23" Type="http://schemas.openxmlformats.org/officeDocument/2006/relationships/image" Target="../media/image14.png"/><Relationship Id="rId28" Type="http://schemas.openxmlformats.org/officeDocument/2006/relationships/chart" Target="../charts/chart5.xml"/><Relationship Id="rId36" Type="http://schemas.openxmlformats.org/officeDocument/2006/relationships/image" Target="../media/image21.png"/><Relationship Id="rId10" Type="http://schemas.openxmlformats.org/officeDocument/2006/relationships/image" Target="../media/image2.emf"/><Relationship Id="rId19" Type="http://schemas.openxmlformats.org/officeDocument/2006/relationships/image" Target="../media/image11.emf"/><Relationship Id="rId31" Type="http://schemas.openxmlformats.org/officeDocument/2006/relationships/hyperlink" Target="https://www.linkedin.com/in/adebayo-ogunleye-350737ab" TargetMode="External"/><Relationship Id="rId4" Type="http://schemas.openxmlformats.org/officeDocument/2006/relationships/chart" Target="../charts/chart2.xml"/><Relationship Id="rId9" Type="http://schemas.openxmlformats.org/officeDocument/2006/relationships/image" Target="../media/image1.emf"/><Relationship Id="rId14" Type="http://schemas.openxmlformats.org/officeDocument/2006/relationships/image" Target="../media/image6.emf"/><Relationship Id="rId22" Type="http://schemas.openxmlformats.org/officeDocument/2006/relationships/image" Target="../media/image13.png"/><Relationship Id="rId27" Type="http://schemas.openxmlformats.org/officeDocument/2006/relationships/image" Target="../media/image17.png"/><Relationship Id="rId30" Type="http://schemas.openxmlformats.org/officeDocument/2006/relationships/image" Target="../media/image18.jpeg"/><Relationship Id="rId35" Type="http://schemas.openxmlformats.org/officeDocument/2006/relationships/hyperlink" Target="https://x.com/home?utm_source=homescreen&amp;utm_medium=shortcut" TargetMode="External"/><Relationship Id="rId8"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18" Type="http://schemas.openxmlformats.org/officeDocument/2006/relationships/chart" Target="../charts/chart21.xml"/><Relationship Id="rId26" Type="http://schemas.openxmlformats.org/officeDocument/2006/relationships/hyperlink" Target="https://www.linkedin.com/in/adebayo-ogunleye-350737ab" TargetMode="External"/><Relationship Id="rId3" Type="http://schemas.openxmlformats.org/officeDocument/2006/relationships/chart" Target="../charts/chart7.xml"/><Relationship Id="rId21" Type="http://schemas.openxmlformats.org/officeDocument/2006/relationships/image" Target="../media/image34.png"/><Relationship Id="rId7" Type="http://schemas.openxmlformats.org/officeDocument/2006/relationships/chart" Target="../charts/chart10.xml"/><Relationship Id="rId12" Type="http://schemas.openxmlformats.org/officeDocument/2006/relationships/chart" Target="../charts/chart15.xml"/><Relationship Id="rId17" Type="http://schemas.openxmlformats.org/officeDocument/2006/relationships/chart" Target="../charts/chart20.xml"/><Relationship Id="rId25" Type="http://schemas.openxmlformats.org/officeDocument/2006/relationships/image" Target="../media/image38.jpeg"/><Relationship Id="rId2" Type="http://schemas.openxmlformats.org/officeDocument/2006/relationships/hyperlink" Target="#Performance!A1"/><Relationship Id="rId16" Type="http://schemas.openxmlformats.org/officeDocument/2006/relationships/chart" Target="../charts/chart19.xml"/><Relationship Id="rId20" Type="http://schemas.openxmlformats.org/officeDocument/2006/relationships/chart" Target="../charts/chart23.xml"/><Relationship Id="rId29" Type="http://schemas.openxmlformats.org/officeDocument/2006/relationships/image" Target="../media/image21.png"/><Relationship Id="rId1" Type="http://schemas.openxmlformats.org/officeDocument/2006/relationships/hyperlink" Target="#Overview!A1"/><Relationship Id="rId6" Type="http://schemas.openxmlformats.org/officeDocument/2006/relationships/chart" Target="../charts/chart9.xml"/><Relationship Id="rId11" Type="http://schemas.openxmlformats.org/officeDocument/2006/relationships/chart" Target="../charts/chart14.xml"/><Relationship Id="rId24" Type="http://schemas.openxmlformats.org/officeDocument/2006/relationships/image" Target="../media/image37.png"/><Relationship Id="rId5" Type="http://schemas.openxmlformats.org/officeDocument/2006/relationships/image" Target="../media/image33.emf"/><Relationship Id="rId15" Type="http://schemas.openxmlformats.org/officeDocument/2006/relationships/chart" Target="../charts/chart18.xml"/><Relationship Id="rId23" Type="http://schemas.openxmlformats.org/officeDocument/2006/relationships/image" Target="../media/image36.png"/><Relationship Id="rId28" Type="http://schemas.openxmlformats.org/officeDocument/2006/relationships/hyperlink" Target="https://x.com/home?utm_source=homescreen&amp;utm_medium=shortcut" TargetMode="External"/><Relationship Id="rId10" Type="http://schemas.openxmlformats.org/officeDocument/2006/relationships/chart" Target="../charts/chart13.xml"/><Relationship Id="rId19" Type="http://schemas.openxmlformats.org/officeDocument/2006/relationships/chart" Target="../charts/chart22.xml"/><Relationship Id="rId31" Type="http://schemas.openxmlformats.org/officeDocument/2006/relationships/image" Target="../media/image20.png"/><Relationship Id="rId4" Type="http://schemas.openxmlformats.org/officeDocument/2006/relationships/chart" Target="../charts/chart8.xml"/><Relationship Id="rId9" Type="http://schemas.openxmlformats.org/officeDocument/2006/relationships/chart" Target="../charts/chart12.xml"/><Relationship Id="rId14" Type="http://schemas.openxmlformats.org/officeDocument/2006/relationships/chart" Target="../charts/chart17.xml"/><Relationship Id="rId22" Type="http://schemas.openxmlformats.org/officeDocument/2006/relationships/image" Target="../media/image35.png"/><Relationship Id="rId27" Type="http://schemas.openxmlformats.org/officeDocument/2006/relationships/image" Target="../media/image19.png"/><Relationship Id="rId30" Type="http://schemas.openxmlformats.org/officeDocument/2006/relationships/hyperlink" Target="https://web.facebook.com/adebayoolalekano" TargetMode="External"/></Relationships>
</file>

<file path=xl/drawings/_rels/drawing4.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8.emf"/><Relationship Id="rId2" Type="http://schemas.openxmlformats.org/officeDocument/2006/relationships/image" Target="../media/image23.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17</xdr:col>
      <xdr:colOff>590559</xdr:colOff>
      <xdr:row>27</xdr:row>
      <xdr:rowOff>31750</xdr:rowOff>
    </xdr:to>
    <xdr:sp macro="[0]!ThisWorkbook.LockAllSheetsAllowSlicers" textlink="">
      <xdr:nvSpPr>
        <xdr:cNvPr id="14" name="Rectangle: Rounded Corners 13">
          <a:extLst>
            <a:ext uri="{FF2B5EF4-FFF2-40B4-BE49-F238E27FC236}">
              <a16:creationId xmlns:a16="http://schemas.microsoft.com/office/drawing/2014/main" id="{2B98A58F-4431-B9A8-3E83-E6137824AB9B}"/>
            </a:ext>
          </a:extLst>
        </xdr:cNvPr>
        <xdr:cNvSpPr/>
      </xdr:nvSpPr>
      <xdr:spPr>
        <a:xfrm>
          <a:off x="44450" y="184150"/>
          <a:ext cx="10344159" cy="4819650"/>
        </a:xfrm>
        <a:prstGeom prst="roundRect">
          <a:avLst>
            <a:gd name="adj" fmla="val 3953"/>
          </a:avLst>
        </a:prstGeom>
        <a:solidFill>
          <a:schemeClr val="tx2">
            <a:lumMod val="10000"/>
            <a:lumOff val="90000"/>
            <a:alpha val="69000"/>
          </a:schemeClr>
        </a:solidFill>
        <a:ln w="19050" cap="flat">
          <a:noFill/>
          <a:miter lim="800000"/>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en-GB" sz="1400">
              <a:solidFill>
                <a:srgbClr val="C00000"/>
              </a:solidFill>
              <a:latin typeface="Arial Black" panose="020B0A04020102020204" pitchFamily="34" charset="0"/>
              <a:ea typeface="+mn-ea"/>
              <a:cs typeface="Times New Roman" panose="02020603050405020304" pitchFamily="18" charset="0"/>
            </a:rPr>
            <a:t>BAYAN STORE SALES ANALYSIS </a:t>
          </a:r>
          <a:endParaRPr lang="en-NG" sz="1400">
            <a:solidFill>
              <a:srgbClr val="C00000"/>
            </a:solidFill>
            <a:latin typeface="Arial Black" panose="020B0A04020102020204" pitchFamily="34" charset="0"/>
            <a:ea typeface="+mn-ea"/>
            <a:cs typeface="Times New Roman" panose="02020603050405020304" pitchFamily="18" charset="0"/>
          </a:endParaRPr>
        </a:p>
      </xdr:txBody>
    </xdr:sp>
    <xdr:clientData/>
  </xdr:twoCellAnchor>
  <xdr:twoCellAnchor>
    <xdr:from>
      <xdr:col>6</xdr:col>
      <xdr:colOff>292290</xdr:colOff>
      <xdr:row>2</xdr:row>
      <xdr:rowOff>0</xdr:rowOff>
    </xdr:from>
    <xdr:to>
      <xdr:col>7</xdr:col>
      <xdr:colOff>417937</xdr:colOff>
      <xdr:row>3</xdr:row>
      <xdr:rowOff>76200</xdr:rowOff>
    </xdr:to>
    <xdr:sp macro="" textlink="">
      <xdr:nvSpPr>
        <xdr:cNvPr id="24" name="TextBox 23">
          <a:hlinkClick xmlns:r="http://schemas.openxmlformats.org/officeDocument/2006/relationships" r:id="rId1"/>
          <a:extLst>
            <a:ext uri="{FF2B5EF4-FFF2-40B4-BE49-F238E27FC236}">
              <a16:creationId xmlns:a16="http://schemas.microsoft.com/office/drawing/2014/main" id="{E10F646C-D40D-A9BE-EE1B-3C052C1C73EF}"/>
            </a:ext>
          </a:extLst>
        </xdr:cNvPr>
        <xdr:cNvSpPr txBox="1"/>
      </xdr:nvSpPr>
      <xdr:spPr>
        <a:xfrm>
          <a:off x="3410140" y="368300"/>
          <a:ext cx="735247" cy="260350"/>
        </a:xfrm>
        <a:prstGeom prst="rect">
          <a:avLst/>
        </a:prstGeom>
        <a:solidFill>
          <a:schemeClr val="tx2">
            <a:lumMod val="50000"/>
            <a:lumOff val="5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solidFill>
                <a:srgbClr val="FF0000"/>
              </a:solidFill>
            </a:rPr>
            <a:t>Overview</a:t>
          </a:r>
          <a:endParaRPr lang="en-NG" sz="1000" b="1">
            <a:solidFill>
              <a:srgbClr val="FF0000"/>
            </a:solidFill>
          </a:endParaRPr>
        </a:p>
      </xdr:txBody>
    </xdr:sp>
    <xdr:clientData/>
  </xdr:twoCellAnchor>
  <xdr:twoCellAnchor>
    <xdr:from>
      <xdr:col>7</xdr:col>
      <xdr:colOff>335550</xdr:colOff>
      <xdr:row>1</xdr:row>
      <xdr:rowOff>171450</xdr:rowOff>
    </xdr:from>
    <xdr:to>
      <xdr:col>9</xdr:col>
      <xdr:colOff>29070</xdr:colOff>
      <xdr:row>3</xdr:row>
      <xdr:rowOff>63500</xdr:rowOff>
    </xdr:to>
    <xdr:sp macro="" textlink="">
      <xdr:nvSpPr>
        <xdr:cNvPr id="25" name="TextBox 24">
          <a:hlinkClick xmlns:r="http://schemas.openxmlformats.org/officeDocument/2006/relationships" r:id="rId2"/>
          <a:extLst>
            <a:ext uri="{FF2B5EF4-FFF2-40B4-BE49-F238E27FC236}">
              <a16:creationId xmlns:a16="http://schemas.microsoft.com/office/drawing/2014/main" id="{9817BFA7-C963-835D-8BEF-61B8C858595A}"/>
            </a:ext>
          </a:extLst>
        </xdr:cNvPr>
        <xdr:cNvSpPr txBox="1"/>
      </xdr:nvSpPr>
      <xdr:spPr>
        <a:xfrm>
          <a:off x="4063000" y="355600"/>
          <a:ext cx="912720" cy="260350"/>
        </a:xfrm>
        <a:prstGeom prst="rect">
          <a:avLst/>
        </a:prstGeom>
        <a:solidFill>
          <a:schemeClr val="tx2">
            <a:lumMod val="50000"/>
            <a:lumOff val="5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solidFill>
                <a:srgbClr val="FF0000"/>
              </a:solidFill>
            </a:rPr>
            <a:t>Performance</a:t>
          </a:r>
          <a:endParaRPr lang="en-NG" sz="1000" b="1">
            <a:solidFill>
              <a:srgbClr val="FF0000"/>
            </a:solidFill>
          </a:endParaRPr>
        </a:p>
      </xdr:txBody>
    </xdr:sp>
    <xdr:clientData/>
  </xdr:twoCellAnchor>
  <xdr:twoCellAnchor>
    <xdr:from>
      <xdr:col>1</xdr:col>
      <xdr:colOff>19015</xdr:colOff>
      <xdr:row>3</xdr:row>
      <xdr:rowOff>101599</xdr:rowOff>
    </xdr:from>
    <xdr:to>
      <xdr:col>3</xdr:col>
      <xdr:colOff>16775</xdr:colOff>
      <xdr:row>27</xdr:row>
      <xdr:rowOff>16848</xdr:rowOff>
    </xdr:to>
    <xdr:sp macro="" textlink="">
      <xdr:nvSpPr>
        <xdr:cNvPr id="2" name="Rectangle: Rounded Corners 1">
          <a:extLst>
            <a:ext uri="{FF2B5EF4-FFF2-40B4-BE49-F238E27FC236}">
              <a16:creationId xmlns:a16="http://schemas.microsoft.com/office/drawing/2014/main" id="{70DB13C6-86FE-1E8A-620C-A67E9A84FE47}"/>
            </a:ext>
          </a:extLst>
        </xdr:cNvPr>
        <xdr:cNvSpPr/>
      </xdr:nvSpPr>
      <xdr:spPr>
        <a:xfrm>
          <a:off x="63465" y="654049"/>
          <a:ext cx="1216960" cy="4334849"/>
        </a:xfrm>
        <a:prstGeom prst="roundRect">
          <a:avLst>
            <a:gd name="adj" fmla="val 13542"/>
          </a:avLst>
        </a:prstGeom>
        <a:solidFill>
          <a:schemeClr val="tx2">
            <a:lumMod val="25000"/>
            <a:lumOff val="75000"/>
            <a:alpha val="75000"/>
          </a:schemeClr>
        </a:soli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61143</xdr:colOff>
      <xdr:row>3</xdr:row>
      <xdr:rowOff>107950</xdr:rowOff>
    </xdr:from>
    <xdr:to>
      <xdr:col>7</xdr:col>
      <xdr:colOff>529860</xdr:colOff>
      <xdr:row>11</xdr:row>
      <xdr:rowOff>182750</xdr:rowOff>
    </xdr:to>
    <xdr:sp macro="" textlink="">
      <xdr:nvSpPr>
        <xdr:cNvPr id="9" name="Rectangle: Rounded Corners 8">
          <a:extLst>
            <a:ext uri="{FF2B5EF4-FFF2-40B4-BE49-F238E27FC236}">
              <a16:creationId xmlns:a16="http://schemas.microsoft.com/office/drawing/2014/main" id="{770947FE-3EB4-80F1-6F3A-E1E277A2ABB1}"/>
            </a:ext>
          </a:extLst>
        </xdr:cNvPr>
        <xdr:cNvSpPr/>
      </xdr:nvSpPr>
      <xdr:spPr>
        <a:xfrm>
          <a:off x="1324793" y="660400"/>
          <a:ext cx="2907117" cy="1548000"/>
        </a:xfrm>
        <a:prstGeom prst="roundRect">
          <a:avLst>
            <a:gd name="adj" fmla="val 7020"/>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12</xdr:col>
      <xdr:colOff>492568</xdr:colOff>
      <xdr:row>3</xdr:row>
      <xdr:rowOff>95250</xdr:rowOff>
    </xdr:from>
    <xdr:to>
      <xdr:col>17</xdr:col>
      <xdr:colOff>588780</xdr:colOff>
      <xdr:row>14</xdr:row>
      <xdr:rowOff>157600</xdr:rowOff>
    </xdr:to>
    <xdr:sp macro="" textlink="">
      <xdr:nvSpPr>
        <xdr:cNvPr id="11" name="Rectangle: Rounded Corners 10">
          <a:extLst>
            <a:ext uri="{FF2B5EF4-FFF2-40B4-BE49-F238E27FC236}">
              <a16:creationId xmlns:a16="http://schemas.microsoft.com/office/drawing/2014/main" id="{424509A8-0678-E619-A02F-5EF75D78A605}"/>
            </a:ext>
          </a:extLst>
        </xdr:cNvPr>
        <xdr:cNvSpPr/>
      </xdr:nvSpPr>
      <xdr:spPr>
        <a:xfrm>
          <a:off x="7242618" y="647700"/>
          <a:ext cx="3144212" cy="2088000"/>
        </a:xfrm>
        <a:prstGeom prst="roundRect">
          <a:avLst>
            <a:gd name="adj" fmla="val 4768"/>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12</xdr:col>
      <xdr:colOff>498906</xdr:colOff>
      <xdr:row>14</xdr:row>
      <xdr:rowOff>63500</xdr:rowOff>
    </xdr:from>
    <xdr:to>
      <xdr:col>17</xdr:col>
      <xdr:colOff>595118</xdr:colOff>
      <xdr:row>27</xdr:row>
      <xdr:rowOff>9550</xdr:rowOff>
    </xdr:to>
    <xdr:sp macro="" textlink="">
      <xdr:nvSpPr>
        <xdr:cNvPr id="13" name="Rectangle: Rounded Corners 12">
          <a:extLst>
            <a:ext uri="{FF2B5EF4-FFF2-40B4-BE49-F238E27FC236}">
              <a16:creationId xmlns:a16="http://schemas.microsoft.com/office/drawing/2014/main" id="{5185D9CD-9BD0-8DA7-8E60-6A6B1DE6A252}"/>
            </a:ext>
          </a:extLst>
        </xdr:cNvPr>
        <xdr:cNvSpPr/>
      </xdr:nvSpPr>
      <xdr:spPr>
        <a:xfrm>
          <a:off x="7274356" y="2641600"/>
          <a:ext cx="3144212" cy="2340000"/>
        </a:xfrm>
        <a:prstGeom prst="roundRect">
          <a:avLst>
            <a:gd name="adj" fmla="val 6209"/>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61143</xdr:colOff>
      <xdr:row>11</xdr:row>
      <xdr:rowOff>101600</xdr:rowOff>
    </xdr:from>
    <xdr:to>
      <xdr:col>7</xdr:col>
      <xdr:colOff>529860</xdr:colOff>
      <xdr:row>19</xdr:row>
      <xdr:rowOff>176400</xdr:rowOff>
    </xdr:to>
    <xdr:sp macro="" textlink="">
      <xdr:nvSpPr>
        <xdr:cNvPr id="40" name="Rectangle: Rounded Corners 39">
          <a:extLst>
            <a:ext uri="{FF2B5EF4-FFF2-40B4-BE49-F238E27FC236}">
              <a16:creationId xmlns:a16="http://schemas.microsoft.com/office/drawing/2014/main" id="{E2068380-27EA-4FA7-68B2-87884D704D5C}"/>
            </a:ext>
          </a:extLst>
        </xdr:cNvPr>
        <xdr:cNvSpPr/>
      </xdr:nvSpPr>
      <xdr:spPr>
        <a:xfrm>
          <a:off x="1324793" y="2127250"/>
          <a:ext cx="2907117" cy="1548000"/>
        </a:xfrm>
        <a:prstGeom prst="roundRect">
          <a:avLst>
            <a:gd name="adj" fmla="val 7020"/>
          </a:avLst>
        </a:prstGeom>
        <a:solidFill>
          <a:schemeClr val="tx2">
            <a:lumMod val="25000"/>
            <a:lumOff val="75000"/>
            <a:alpha val="75000"/>
          </a:schemeClr>
        </a:soli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endParaRPr lang="en-NG" sz="1100">
            <a:solidFill>
              <a:schemeClr val="lt1"/>
            </a:solidFill>
            <a:latin typeface="+mn-lt"/>
            <a:ea typeface="+mn-ea"/>
            <a:cs typeface="+mn-cs"/>
          </a:endParaRPr>
        </a:p>
      </xdr:txBody>
    </xdr:sp>
    <xdr:clientData/>
  </xdr:twoCellAnchor>
  <xdr:twoCellAnchor>
    <xdr:from>
      <xdr:col>3</xdr:col>
      <xdr:colOff>54805</xdr:colOff>
      <xdr:row>19</xdr:row>
      <xdr:rowOff>57750</xdr:rowOff>
    </xdr:from>
    <xdr:to>
      <xdr:col>7</xdr:col>
      <xdr:colOff>523522</xdr:colOff>
      <xdr:row>27</xdr:row>
      <xdr:rowOff>31750</xdr:rowOff>
    </xdr:to>
    <xdr:sp macro="" textlink="">
      <xdr:nvSpPr>
        <xdr:cNvPr id="41" name="Rectangle: Rounded Corners 40">
          <a:extLst>
            <a:ext uri="{FF2B5EF4-FFF2-40B4-BE49-F238E27FC236}">
              <a16:creationId xmlns:a16="http://schemas.microsoft.com/office/drawing/2014/main" id="{C04E770F-DB95-A91C-A861-6F5DDBA88A8D}"/>
            </a:ext>
          </a:extLst>
        </xdr:cNvPr>
        <xdr:cNvSpPr/>
      </xdr:nvSpPr>
      <xdr:spPr>
        <a:xfrm>
          <a:off x="1343855" y="3556600"/>
          <a:ext cx="2907117" cy="1447200"/>
        </a:xfrm>
        <a:prstGeom prst="roundRect">
          <a:avLst>
            <a:gd name="adj" fmla="val 7020"/>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570068</xdr:colOff>
      <xdr:row>3</xdr:row>
      <xdr:rowOff>101600</xdr:rowOff>
    </xdr:from>
    <xdr:to>
      <xdr:col>12</xdr:col>
      <xdr:colOff>468644</xdr:colOff>
      <xdr:row>17</xdr:row>
      <xdr:rowOff>140700</xdr:rowOff>
    </xdr:to>
    <xdr:sp macro="" textlink="">
      <xdr:nvSpPr>
        <xdr:cNvPr id="42" name="Rectangle: Rounded Corners 41">
          <a:extLst>
            <a:ext uri="{FF2B5EF4-FFF2-40B4-BE49-F238E27FC236}">
              <a16:creationId xmlns:a16="http://schemas.microsoft.com/office/drawing/2014/main" id="{D96D4A99-3291-B3B9-1265-BF117F0D6ED4}"/>
            </a:ext>
          </a:extLst>
        </xdr:cNvPr>
        <xdr:cNvSpPr/>
      </xdr:nvSpPr>
      <xdr:spPr>
        <a:xfrm>
          <a:off x="4272118" y="654050"/>
          <a:ext cx="2946576" cy="2617200"/>
        </a:xfrm>
        <a:prstGeom prst="roundRect">
          <a:avLst>
            <a:gd name="adj" fmla="val 2980"/>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567423</xdr:colOff>
      <xdr:row>17</xdr:row>
      <xdr:rowOff>44450</xdr:rowOff>
    </xdr:from>
    <xdr:to>
      <xdr:col>12</xdr:col>
      <xdr:colOff>465999</xdr:colOff>
      <xdr:row>27</xdr:row>
      <xdr:rowOff>2950</xdr:rowOff>
    </xdr:to>
    <xdr:sp macro="" textlink="">
      <xdr:nvSpPr>
        <xdr:cNvPr id="12" name="Rectangle: Rounded Corners 11">
          <a:extLst>
            <a:ext uri="{FF2B5EF4-FFF2-40B4-BE49-F238E27FC236}">
              <a16:creationId xmlns:a16="http://schemas.microsoft.com/office/drawing/2014/main" id="{3ACFF5FD-BB5B-54E6-9EE2-A89000D74BD5}"/>
            </a:ext>
          </a:extLst>
        </xdr:cNvPr>
        <xdr:cNvSpPr/>
      </xdr:nvSpPr>
      <xdr:spPr>
        <a:xfrm>
          <a:off x="4269473" y="3175000"/>
          <a:ext cx="2946576" cy="1800000"/>
        </a:xfrm>
        <a:prstGeom prst="roundRect">
          <a:avLst>
            <a:gd name="adj" fmla="val 5904"/>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xdr:col>
      <xdr:colOff>31715</xdr:colOff>
      <xdr:row>3</xdr:row>
      <xdr:rowOff>120649</xdr:rowOff>
    </xdr:from>
    <xdr:to>
      <xdr:col>3</xdr:col>
      <xdr:colOff>515</xdr:colOff>
      <xdr:row>7</xdr:row>
      <xdr:rowOff>3249</xdr:rowOff>
    </xdr:to>
    <xdr:sp macro="" textlink="">
      <xdr:nvSpPr>
        <xdr:cNvPr id="21" name="Rectangle: Rounded Corners 20">
          <a:extLst>
            <a:ext uri="{FF2B5EF4-FFF2-40B4-BE49-F238E27FC236}">
              <a16:creationId xmlns:a16="http://schemas.microsoft.com/office/drawing/2014/main" id="{D3F2EBD9-9133-E932-A8CF-A49C14EB2EDD}"/>
            </a:ext>
          </a:extLst>
        </xdr:cNvPr>
        <xdr:cNvSpPr/>
      </xdr:nvSpPr>
      <xdr:spPr>
        <a:xfrm>
          <a:off x="234915" y="673099"/>
          <a:ext cx="1188000" cy="619200"/>
        </a:xfrm>
        <a:prstGeom prst="roundRect">
          <a:avLst>
            <a:gd name="adj" fmla="val 13542"/>
          </a:avLst>
        </a:prstGeom>
        <a:solidFill>
          <a:schemeClr val="tx2">
            <a:lumMod val="10000"/>
            <a:lumOff val="90000"/>
            <a:alpha val="75000"/>
          </a:schemeClr>
        </a:soli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clientData/>
  </xdr:twoCellAnchor>
  <xdr:twoCellAnchor>
    <xdr:from>
      <xdr:col>1</xdr:col>
      <xdr:colOff>34632</xdr:colOff>
      <xdr:row>6</xdr:row>
      <xdr:rowOff>178857</xdr:rowOff>
    </xdr:from>
    <xdr:to>
      <xdr:col>3</xdr:col>
      <xdr:colOff>3432</xdr:colOff>
      <xdr:row>10</xdr:row>
      <xdr:rowOff>61457</xdr:rowOff>
    </xdr:to>
    <xdr:sp macro="" textlink="">
      <xdr:nvSpPr>
        <xdr:cNvPr id="22" name="Rectangle: Rounded Corners 21">
          <a:extLst>
            <a:ext uri="{FF2B5EF4-FFF2-40B4-BE49-F238E27FC236}">
              <a16:creationId xmlns:a16="http://schemas.microsoft.com/office/drawing/2014/main" id="{57D7EA38-4BF9-CD59-BC18-684FE738C267}"/>
            </a:ext>
          </a:extLst>
        </xdr:cNvPr>
        <xdr:cNvSpPr/>
      </xdr:nvSpPr>
      <xdr:spPr>
        <a:xfrm>
          <a:off x="237832" y="1283757"/>
          <a:ext cx="1188000" cy="619200"/>
        </a:xfrm>
        <a:prstGeom prst="roundRect">
          <a:avLst>
            <a:gd name="adj" fmla="val 13542"/>
          </a:avLst>
        </a:prstGeom>
        <a:solidFill>
          <a:schemeClr val="tx2">
            <a:lumMod val="10000"/>
            <a:lumOff val="90000"/>
            <a:alpha val="75000"/>
          </a:schemeClr>
        </a:soli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clientData/>
  </xdr:twoCellAnchor>
  <xdr:twoCellAnchor>
    <xdr:from>
      <xdr:col>1</xdr:col>
      <xdr:colOff>31715</xdr:colOff>
      <xdr:row>10</xdr:row>
      <xdr:rowOff>52915</xdr:rowOff>
    </xdr:from>
    <xdr:to>
      <xdr:col>3</xdr:col>
      <xdr:colOff>515</xdr:colOff>
      <xdr:row>13</xdr:row>
      <xdr:rowOff>119665</xdr:rowOff>
    </xdr:to>
    <xdr:sp macro="" textlink="">
      <xdr:nvSpPr>
        <xdr:cNvPr id="43" name="Rectangle: Rounded Corners 42">
          <a:extLst>
            <a:ext uri="{FF2B5EF4-FFF2-40B4-BE49-F238E27FC236}">
              <a16:creationId xmlns:a16="http://schemas.microsoft.com/office/drawing/2014/main" id="{26907EC4-E5D2-D3A1-BC55-0871331148EF}"/>
            </a:ext>
          </a:extLst>
        </xdr:cNvPr>
        <xdr:cNvSpPr/>
      </xdr:nvSpPr>
      <xdr:spPr>
        <a:xfrm>
          <a:off x="234915" y="1894415"/>
          <a:ext cx="1188000" cy="619200"/>
        </a:xfrm>
        <a:prstGeom prst="roundRect">
          <a:avLst>
            <a:gd name="adj" fmla="val 13542"/>
          </a:avLst>
        </a:prstGeom>
        <a:solidFill>
          <a:schemeClr val="tx2">
            <a:lumMod val="10000"/>
            <a:lumOff val="90000"/>
            <a:alpha val="75000"/>
          </a:schemeClr>
        </a:soli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clientData/>
  </xdr:twoCellAnchor>
  <xdr:twoCellAnchor>
    <xdr:from>
      <xdr:col>1</xdr:col>
      <xdr:colOff>31715</xdr:colOff>
      <xdr:row>13</xdr:row>
      <xdr:rowOff>111123</xdr:rowOff>
    </xdr:from>
    <xdr:to>
      <xdr:col>3</xdr:col>
      <xdr:colOff>515</xdr:colOff>
      <xdr:row>16</xdr:row>
      <xdr:rowOff>177873</xdr:rowOff>
    </xdr:to>
    <xdr:sp macro="" textlink="">
      <xdr:nvSpPr>
        <xdr:cNvPr id="44" name="Rectangle: Rounded Corners 43">
          <a:extLst>
            <a:ext uri="{FF2B5EF4-FFF2-40B4-BE49-F238E27FC236}">
              <a16:creationId xmlns:a16="http://schemas.microsoft.com/office/drawing/2014/main" id="{D8162DD8-1041-3C65-EE3A-24DC0EB15E5D}"/>
            </a:ext>
          </a:extLst>
        </xdr:cNvPr>
        <xdr:cNvSpPr/>
      </xdr:nvSpPr>
      <xdr:spPr>
        <a:xfrm>
          <a:off x="234915" y="2505073"/>
          <a:ext cx="1188000" cy="619200"/>
        </a:xfrm>
        <a:prstGeom prst="roundRect">
          <a:avLst>
            <a:gd name="adj" fmla="val 13542"/>
          </a:avLst>
        </a:prstGeom>
        <a:solidFill>
          <a:schemeClr val="tx2">
            <a:lumMod val="10000"/>
            <a:lumOff val="90000"/>
            <a:alpha val="75000"/>
          </a:schemeClr>
        </a:soli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clientData/>
  </xdr:twoCellAnchor>
  <xdr:twoCellAnchor>
    <xdr:from>
      <xdr:col>1</xdr:col>
      <xdr:colOff>12664</xdr:colOff>
      <xdr:row>19</xdr:row>
      <xdr:rowOff>178928</xdr:rowOff>
    </xdr:from>
    <xdr:to>
      <xdr:col>3</xdr:col>
      <xdr:colOff>25399</xdr:colOff>
      <xdr:row>27</xdr:row>
      <xdr:rowOff>6350</xdr:rowOff>
    </xdr:to>
    <xdr:sp macro="" textlink="">
      <xdr:nvSpPr>
        <xdr:cNvPr id="45" name="Rectangle: Rounded Corners 44">
          <a:extLst>
            <a:ext uri="{FF2B5EF4-FFF2-40B4-BE49-F238E27FC236}">
              <a16:creationId xmlns:a16="http://schemas.microsoft.com/office/drawing/2014/main" id="{29C6A3DE-BCF1-D32B-1CEE-6CE84D2336A6}"/>
            </a:ext>
          </a:extLst>
        </xdr:cNvPr>
        <xdr:cNvSpPr/>
      </xdr:nvSpPr>
      <xdr:spPr>
        <a:xfrm>
          <a:off x="82514" y="3677778"/>
          <a:ext cx="1231935" cy="1300622"/>
        </a:xfrm>
        <a:prstGeom prst="roundRect">
          <a:avLst>
            <a:gd name="adj" fmla="val 13542"/>
          </a:avLst>
        </a:prstGeom>
        <a:solidFill>
          <a:schemeClr val="tx2">
            <a:lumMod val="10000"/>
            <a:lumOff val="90000"/>
            <a:alpha val="75000"/>
          </a:schemeClr>
        </a:soli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clientData/>
  </xdr:twoCellAnchor>
  <xdr:twoCellAnchor>
    <xdr:from>
      <xdr:col>3</xdr:col>
      <xdr:colOff>44450</xdr:colOff>
      <xdr:row>11</xdr:row>
      <xdr:rowOff>120650</xdr:rowOff>
    </xdr:from>
    <xdr:to>
      <xdr:col>7</xdr:col>
      <xdr:colOff>558800</xdr:colOff>
      <xdr:row>13</xdr:row>
      <xdr:rowOff>16910</xdr:rowOff>
    </xdr:to>
    <xdr:sp macro="" textlink="">
      <xdr:nvSpPr>
        <xdr:cNvPr id="31" name="TextBox 30">
          <a:extLst>
            <a:ext uri="{FF2B5EF4-FFF2-40B4-BE49-F238E27FC236}">
              <a16:creationId xmlns:a16="http://schemas.microsoft.com/office/drawing/2014/main" id="{AA84A8A7-1BB2-39EA-CF32-1CAADA8CDEB8}"/>
            </a:ext>
          </a:extLst>
        </xdr:cNvPr>
        <xdr:cNvSpPr txBox="1"/>
      </xdr:nvSpPr>
      <xdr:spPr>
        <a:xfrm flipH="1">
          <a:off x="1809750" y="2146300"/>
          <a:ext cx="295275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GB" sz="1100" b="1">
              <a:solidFill>
                <a:srgbClr val="C00000"/>
              </a:solidFill>
            </a:rPr>
            <a:t>Shipping</a:t>
          </a:r>
          <a:r>
            <a:rPr lang="en-GB" sz="1100" b="1" baseline="0">
              <a:solidFill>
                <a:srgbClr val="C00000"/>
              </a:solidFill>
            </a:rPr>
            <a:t> Mode:</a:t>
          </a:r>
          <a:r>
            <a:rPr lang="en-GB" sz="900" b="1" baseline="0">
              <a:solidFill>
                <a:srgbClr val="C00000"/>
              </a:solidFill>
            </a:rPr>
            <a:t> </a:t>
          </a:r>
          <a:r>
            <a:rPr lang="en-GB" sz="800" baseline="0">
              <a:solidFill>
                <a:srgbClr val="FF0000"/>
              </a:solidFill>
            </a:rPr>
            <a:t>Most Used Order waas Standard Class (59%)</a:t>
          </a:r>
          <a:endParaRPr lang="en-NG" sz="800">
            <a:solidFill>
              <a:srgbClr val="FF0000"/>
            </a:solidFill>
          </a:endParaRPr>
        </a:p>
      </xdr:txBody>
    </xdr:sp>
    <xdr:clientData/>
  </xdr:twoCellAnchor>
  <xdr:twoCellAnchor>
    <xdr:from>
      <xdr:col>4</xdr:col>
      <xdr:colOff>57150</xdr:colOff>
      <xdr:row>15</xdr:row>
      <xdr:rowOff>44451</xdr:rowOff>
    </xdr:from>
    <xdr:to>
      <xdr:col>5</xdr:col>
      <xdr:colOff>222250</xdr:colOff>
      <xdr:row>17</xdr:row>
      <xdr:rowOff>6350</xdr:rowOff>
    </xdr:to>
    <xdr:sp macro="" textlink="">
      <xdr:nvSpPr>
        <xdr:cNvPr id="29" name="TextBox 28">
          <a:extLst>
            <a:ext uri="{FF2B5EF4-FFF2-40B4-BE49-F238E27FC236}">
              <a16:creationId xmlns:a16="http://schemas.microsoft.com/office/drawing/2014/main" id="{25631B37-5805-F9F8-D7DE-D190808D4CC0}"/>
            </a:ext>
          </a:extLst>
        </xdr:cNvPr>
        <xdr:cNvSpPr txBox="1"/>
      </xdr:nvSpPr>
      <xdr:spPr>
        <a:xfrm>
          <a:off x="2432050" y="2806701"/>
          <a:ext cx="774700" cy="3301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lvl="0" algn="l"/>
          <a:r>
            <a:rPr lang="en-GB" sz="800" b="1">
              <a:solidFill>
                <a:srgbClr val="FF0000"/>
              </a:solidFill>
              <a:latin typeface="Times New Roman" panose="02020603050405020304" pitchFamily="18" charset="0"/>
              <a:cs typeface="Times New Roman" panose="02020603050405020304" pitchFamily="18" charset="0"/>
            </a:rPr>
            <a:t>SHIP MODE</a:t>
          </a:r>
          <a:endParaRPr lang="en-NG" sz="800" b="1">
            <a:solidFill>
              <a:srgbClr val="FF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44450</xdr:colOff>
      <xdr:row>11</xdr:row>
      <xdr:rowOff>165100</xdr:rowOff>
    </xdr:from>
    <xdr:to>
      <xdr:col>7</xdr:col>
      <xdr:colOff>514350</xdr:colOff>
      <xdr:row>19</xdr:row>
      <xdr:rowOff>88900</xdr:rowOff>
    </xdr:to>
    <xdr:graphicFrame macro="">
      <xdr:nvGraphicFramePr>
        <xdr:cNvPr id="26" name="Chart 25">
          <a:extLst>
            <a:ext uri="{FF2B5EF4-FFF2-40B4-BE49-F238E27FC236}">
              <a16:creationId xmlns:a16="http://schemas.microsoft.com/office/drawing/2014/main" id="{7F1175D7-4A70-47AE-9020-EA61C64FB7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603250</xdr:colOff>
      <xdr:row>3</xdr:row>
      <xdr:rowOff>120650</xdr:rowOff>
    </xdr:from>
    <xdr:to>
      <xdr:col>12</xdr:col>
      <xdr:colOff>435250</xdr:colOff>
      <xdr:row>17</xdr:row>
      <xdr:rowOff>62550</xdr:rowOff>
    </xdr:to>
    <xdr:graphicFrame macro="">
      <xdr:nvGraphicFramePr>
        <xdr:cNvPr id="39" name="Chart 38">
          <a:extLst>
            <a:ext uri="{FF2B5EF4-FFF2-40B4-BE49-F238E27FC236}">
              <a16:creationId xmlns:a16="http://schemas.microsoft.com/office/drawing/2014/main" id="{F4808392-8213-41EC-9E11-CFAD5C951D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88900</xdr:colOff>
      <xdr:row>19</xdr:row>
      <xdr:rowOff>25400</xdr:rowOff>
    </xdr:from>
    <xdr:to>
      <xdr:col>7</xdr:col>
      <xdr:colOff>508000</xdr:colOff>
      <xdr:row>26</xdr:row>
      <xdr:rowOff>133350</xdr:rowOff>
    </xdr:to>
    <xdr:graphicFrame macro="">
      <xdr:nvGraphicFramePr>
        <xdr:cNvPr id="3" name="Chart 2">
          <a:extLst>
            <a:ext uri="{FF2B5EF4-FFF2-40B4-BE49-F238E27FC236}">
              <a16:creationId xmlns:a16="http://schemas.microsoft.com/office/drawing/2014/main" id="{A506B621-F5E8-455F-B238-623804D3F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603250</xdr:colOff>
      <xdr:row>17</xdr:row>
      <xdr:rowOff>31750</xdr:rowOff>
    </xdr:from>
    <xdr:to>
      <xdr:col>12</xdr:col>
      <xdr:colOff>457200</xdr:colOff>
      <xdr:row>26</xdr:row>
      <xdr:rowOff>127000</xdr:rowOff>
    </xdr:to>
    <mc:AlternateContent xmlns:mc="http://schemas.openxmlformats.org/markup-compatibility/2006">
      <mc:Choice xmlns:cx2="http://schemas.microsoft.com/office/drawing/2015/10/21/chartex" Requires="cx2">
        <xdr:graphicFrame macro="">
          <xdr:nvGraphicFramePr>
            <xdr:cNvPr id="4" name="Chart 3">
              <a:extLst>
                <a:ext uri="{FF2B5EF4-FFF2-40B4-BE49-F238E27FC236}">
                  <a16:creationId xmlns:a16="http://schemas.microsoft.com/office/drawing/2014/main" id="{5D2EA137-E588-40E9-81F0-DB7F397BA2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4330700" y="3162300"/>
              <a:ext cx="2901950" cy="1752600"/>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44450</xdr:colOff>
      <xdr:row>3</xdr:row>
      <xdr:rowOff>177800</xdr:rowOff>
    </xdr:from>
    <xdr:to>
      <xdr:col>11</xdr:col>
      <xdr:colOff>431800</xdr:colOff>
      <xdr:row>5</xdr:row>
      <xdr:rowOff>50800</xdr:rowOff>
    </xdr:to>
    <xdr:sp macro="" textlink="">
      <xdr:nvSpPr>
        <xdr:cNvPr id="5" name="TextBox 4">
          <a:extLst>
            <a:ext uri="{FF2B5EF4-FFF2-40B4-BE49-F238E27FC236}">
              <a16:creationId xmlns:a16="http://schemas.microsoft.com/office/drawing/2014/main" id="{5B653D24-5550-0E0B-C69F-FD56D2880BA7}"/>
            </a:ext>
          </a:extLst>
        </xdr:cNvPr>
        <xdr:cNvSpPr txBox="1"/>
      </xdr:nvSpPr>
      <xdr:spPr>
        <a:xfrm>
          <a:off x="4991100" y="730250"/>
          <a:ext cx="160655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rgbClr val="C00000"/>
              </a:solidFill>
              <a:latin typeface="Times New Roman" panose="02020603050405020304" pitchFamily="18" charset="0"/>
              <a:cs typeface="Times New Roman" panose="02020603050405020304" pitchFamily="18" charset="0"/>
            </a:rPr>
            <a:t>Monthly Revenue Trend</a:t>
          </a:r>
          <a:endParaRPr lang="en-NG" sz="105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546100</xdr:colOff>
      <xdr:row>3</xdr:row>
      <xdr:rowOff>120650</xdr:rowOff>
    </xdr:from>
    <xdr:to>
      <xdr:col>17</xdr:col>
      <xdr:colOff>552450</xdr:colOff>
      <xdr:row>14</xdr:row>
      <xdr:rowOff>12700</xdr:rowOff>
    </xdr:to>
    <mc:AlternateContent xmlns:mc="http://schemas.openxmlformats.org/markup-compatibility/2006">
      <mc:Choice xmlns:cx4="http://schemas.microsoft.com/office/drawing/2016/5/10/chartex" Requires="cx4">
        <xdr:graphicFrame macro="">
          <xdr:nvGraphicFramePr>
            <xdr:cNvPr id="16" name="Chart 15">
              <a:extLst>
                <a:ext uri="{FF2B5EF4-FFF2-40B4-BE49-F238E27FC236}">
                  <a16:creationId xmlns:a16="http://schemas.microsoft.com/office/drawing/2014/main" id="{3163EDB9-64E9-4ECA-81EA-FA516FECC99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7321550" y="673100"/>
              <a:ext cx="3054350" cy="1917700"/>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31750</xdr:colOff>
      <xdr:row>1</xdr:row>
      <xdr:rowOff>101600</xdr:rowOff>
    </xdr:from>
    <xdr:to>
      <xdr:col>17</xdr:col>
      <xdr:colOff>593750</xdr:colOff>
      <xdr:row>3</xdr:row>
      <xdr:rowOff>152400</xdr:rowOff>
    </xdr:to>
    <xdr:grpSp>
      <xdr:nvGrpSpPr>
        <xdr:cNvPr id="49" name="Group 48">
          <a:extLst>
            <a:ext uri="{FF2B5EF4-FFF2-40B4-BE49-F238E27FC236}">
              <a16:creationId xmlns:a16="http://schemas.microsoft.com/office/drawing/2014/main" id="{C940FFB8-3D22-F601-C7E2-52C18A1E35FA}"/>
            </a:ext>
          </a:extLst>
        </xdr:cNvPr>
        <xdr:cNvGrpSpPr/>
      </xdr:nvGrpSpPr>
      <xdr:grpSpPr>
        <a:xfrm>
          <a:off x="4978400" y="285750"/>
          <a:ext cx="5438800" cy="419100"/>
          <a:chOff x="4940300" y="209550"/>
          <a:chExt cx="5330850" cy="361950"/>
        </a:xfrm>
      </xdr:grpSpPr>
      <mc:AlternateContent xmlns:mc="http://schemas.openxmlformats.org/markup-compatibility/2006" xmlns:a14="http://schemas.microsoft.com/office/drawing/2010/main">
        <mc:Choice Requires="a14">
          <xdr:graphicFrame macro="">
            <xdr:nvGraphicFramePr>
              <xdr:cNvPr id="15" name="Date (Year)">
                <a:extLst>
                  <a:ext uri="{FF2B5EF4-FFF2-40B4-BE49-F238E27FC236}">
                    <a16:creationId xmlns:a16="http://schemas.microsoft.com/office/drawing/2014/main" id="{72EAAAFE-480D-4134-BEF9-2E3B59995A6B}"/>
                  </a:ext>
                </a:extLst>
              </xdr:cNvPr>
              <xdr:cNvGraphicFramePr>
                <a:graphicFrameLocks noChangeAspect="1"/>
              </xdr:cNvGraphicFramePr>
            </xdr:nvGraphicFramePr>
            <xdr:xfrm>
              <a:off x="7645400" y="209550"/>
              <a:ext cx="2625750" cy="36195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7738278" y="285750"/>
                <a:ext cx="2678922" cy="4191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Region 1">
                <a:extLst>
                  <a:ext uri="{FF2B5EF4-FFF2-40B4-BE49-F238E27FC236}">
                    <a16:creationId xmlns:a16="http://schemas.microsoft.com/office/drawing/2014/main" id="{1D8F0CAE-9057-4649-9D7C-B413C0E36E00}"/>
                  </a:ext>
                </a:extLst>
              </xdr:cNvPr>
              <xdr:cNvGraphicFramePr/>
            </xdr:nvGraphicFramePr>
            <xdr:xfrm>
              <a:off x="4940300" y="209550"/>
              <a:ext cx="2782112" cy="36195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978400" y="285750"/>
                <a:ext cx="2838450" cy="4191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69850</xdr:colOff>
      <xdr:row>3</xdr:row>
      <xdr:rowOff>107950</xdr:rowOff>
    </xdr:from>
    <xdr:to>
      <xdr:col>7</xdr:col>
      <xdr:colOff>501650</xdr:colOff>
      <xdr:row>11</xdr:row>
      <xdr:rowOff>158750</xdr:rowOff>
    </xdr:to>
    <xdr:graphicFrame macro="">
      <xdr:nvGraphicFramePr>
        <xdr:cNvPr id="50" name="Chart 49">
          <a:extLst>
            <a:ext uri="{FF2B5EF4-FFF2-40B4-BE49-F238E27FC236}">
              <a16:creationId xmlns:a16="http://schemas.microsoft.com/office/drawing/2014/main" id="{D46509C4-AA04-4BDB-8C48-D29163A0C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197090</xdr:colOff>
      <xdr:row>3</xdr:row>
      <xdr:rowOff>133350</xdr:rowOff>
    </xdr:from>
    <xdr:to>
      <xdr:col>2</xdr:col>
      <xdr:colOff>444740</xdr:colOff>
      <xdr:row>4</xdr:row>
      <xdr:rowOff>88900</xdr:rowOff>
    </xdr:to>
    <xdr:sp macro="" textlink="">
      <xdr:nvSpPr>
        <xdr:cNvPr id="52" name="TextBox 51">
          <a:extLst>
            <a:ext uri="{FF2B5EF4-FFF2-40B4-BE49-F238E27FC236}">
              <a16:creationId xmlns:a16="http://schemas.microsoft.com/office/drawing/2014/main" id="{AB273913-EB19-D5E0-B636-48C14FAEB1C2}"/>
            </a:ext>
          </a:extLst>
        </xdr:cNvPr>
        <xdr:cNvSpPr txBox="1"/>
      </xdr:nvSpPr>
      <xdr:spPr>
        <a:xfrm>
          <a:off x="400290" y="685800"/>
          <a:ext cx="857250" cy="139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b="1">
              <a:solidFill>
                <a:srgbClr val="FF0000"/>
              </a:solidFill>
              <a:latin typeface="Arial Black" panose="020B0A04020102020204" pitchFamily="34" charset="0"/>
            </a:rPr>
            <a:t>Revenue</a:t>
          </a:r>
          <a:endParaRPr lang="en-NG" sz="1100" b="1">
            <a:solidFill>
              <a:srgbClr val="FF0000"/>
            </a:solidFill>
            <a:latin typeface="Arial Black" panose="020B0A040201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127000</xdr:colOff>
          <xdr:row>14</xdr:row>
          <xdr:rowOff>57150</xdr:rowOff>
        </xdr:from>
        <xdr:to>
          <xdr:col>1</xdr:col>
          <xdr:colOff>520700</xdr:colOff>
          <xdr:row>15</xdr:row>
          <xdr:rowOff>57150</xdr:rowOff>
        </xdr:to>
        <xdr:pic>
          <xdr:nvPicPr>
            <xdr:cNvPr id="66" name="Picture 65">
              <a:extLst>
                <a:ext uri="{FF2B5EF4-FFF2-40B4-BE49-F238E27FC236}">
                  <a16:creationId xmlns:a16="http://schemas.microsoft.com/office/drawing/2014/main" id="{C85ADEE3-558B-5B19-34CC-4A685261AA5A}"/>
                </a:ext>
              </a:extLst>
            </xdr:cNvPr>
            <xdr:cNvPicPr>
              <a:picLocks noChangeAspect="1" noChangeArrowheads="1"/>
              <a:extLst>
                <a:ext uri="{84589F7E-364E-4C9E-8A38-B11213B215E9}">
                  <a14:cameraTool cellRange="Pivot_Tables!$O$20" spid="_x0000_s15609"/>
                </a:ext>
              </a:extLst>
            </xdr:cNvPicPr>
          </xdr:nvPicPr>
          <xdr:blipFill>
            <a:blip xmlns:r="http://schemas.openxmlformats.org/officeDocument/2006/relationships" r:embed="rId9"/>
            <a:srcRect/>
            <a:stretch>
              <a:fillRect/>
            </a:stretch>
          </xdr:blipFill>
          <xdr:spPr bwMode="auto">
            <a:xfrm>
              <a:off x="330200" y="2635250"/>
              <a:ext cx="393700" cy="1841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317740</xdr:colOff>
          <xdr:row>5</xdr:row>
          <xdr:rowOff>95250</xdr:rowOff>
        </xdr:from>
        <xdr:to>
          <xdr:col>2</xdr:col>
          <xdr:colOff>317740</xdr:colOff>
          <xdr:row>6</xdr:row>
          <xdr:rowOff>95250</xdr:rowOff>
        </xdr:to>
        <xdr:pic>
          <xdr:nvPicPr>
            <xdr:cNvPr id="8" name="Picture 7">
              <a:extLst>
                <a:ext uri="{FF2B5EF4-FFF2-40B4-BE49-F238E27FC236}">
                  <a16:creationId xmlns:a16="http://schemas.microsoft.com/office/drawing/2014/main" id="{4ED661B6-59F6-D59C-DBB4-B3082B9F4E11}"/>
                </a:ext>
              </a:extLst>
            </xdr:cNvPr>
            <xdr:cNvPicPr>
              <a:picLocks noChangeAspect="1" noChangeArrowheads="1"/>
              <a:extLst>
                <a:ext uri="{84589F7E-364E-4C9E-8A38-B11213B215E9}">
                  <a14:cameraTool cellRange="$W$3" spid="_x0000_s15610"/>
                </a:ext>
              </a:extLst>
            </xdr:cNvPicPr>
          </xdr:nvPicPr>
          <xdr:blipFill>
            <a:blip xmlns:r="http://schemas.openxmlformats.org/officeDocument/2006/relationships" r:embed="rId10"/>
            <a:srcRect/>
            <a:stretch>
              <a:fillRect/>
            </a:stretch>
          </xdr:blipFill>
          <xdr:spPr bwMode="auto">
            <a:xfrm>
              <a:off x="387590" y="1016000"/>
              <a:ext cx="609600" cy="1841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317482</xdr:colOff>
          <xdr:row>8</xdr:row>
          <xdr:rowOff>177800</xdr:rowOff>
        </xdr:from>
        <xdr:to>
          <xdr:col>2</xdr:col>
          <xdr:colOff>317482</xdr:colOff>
          <xdr:row>9</xdr:row>
          <xdr:rowOff>177800</xdr:rowOff>
        </xdr:to>
        <xdr:pic>
          <xdr:nvPicPr>
            <xdr:cNvPr id="56" name="Picture 55">
              <a:extLst>
                <a:ext uri="{FF2B5EF4-FFF2-40B4-BE49-F238E27FC236}">
                  <a16:creationId xmlns:a16="http://schemas.microsoft.com/office/drawing/2014/main" id="{3F7317EB-F3AE-8035-B1FE-DB878DC05EDA}"/>
                </a:ext>
              </a:extLst>
            </xdr:cNvPr>
            <xdr:cNvPicPr>
              <a:picLocks noChangeAspect="1" noChangeArrowheads="1"/>
              <a:extLst>
                <a:ext uri="{84589F7E-364E-4C9E-8A38-B11213B215E9}">
                  <a14:cameraTool cellRange="$W$4" spid="_x0000_s15611"/>
                </a:ext>
              </a:extLst>
            </xdr:cNvPicPr>
          </xdr:nvPicPr>
          <xdr:blipFill>
            <a:blip xmlns:r="http://schemas.openxmlformats.org/officeDocument/2006/relationships" r:embed="rId11"/>
            <a:srcRect/>
            <a:stretch>
              <a:fillRect/>
            </a:stretch>
          </xdr:blipFill>
          <xdr:spPr bwMode="auto">
            <a:xfrm>
              <a:off x="387332" y="1651000"/>
              <a:ext cx="609600" cy="184150"/>
            </a:xfrm>
            <a:prstGeom prst="rect">
              <a:avLst/>
            </a:prstGeom>
            <a:no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314565</xdr:colOff>
          <xdr:row>4</xdr:row>
          <xdr:rowOff>95250</xdr:rowOff>
        </xdr:from>
        <xdr:to>
          <xdr:col>2</xdr:col>
          <xdr:colOff>581265</xdr:colOff>
          <xdr:row>5</xdr:row>
          <xdr:rowOff>95250</xdr:rowOff>
        </xdr:to>
        <xdr:pic>
          <xdr:nvPicPr>
            <xdr:cNvPr id="57" name="Picture 56">
              <a:extLst>
                <a:ext uri="{FF2B5EF4-FFF2-40B4-BE49-F238E27FC236}">
                  <a16:creationId xmlns:a16="http://schemas.microsoft.com/office/drawing/2014/main" id="{C0CE9EC6-1EFC-A2B6-7FB7-F716CD174A02}"/>
                </a:ext>
              </a:extLst>
            </xdr:cNvPr>
            <xdr:cNvPicPr>
              <a:picLocks noChangeAspect="1" noChangeArrowheads="1"/>
              <a:extLst>
                <a:ext uri="{84589F7E-364E-4C9E-8A38-B11213B215E9}">
                  <a14:cameraTool cellRange="Pivot_Tables!$M$23" spid="_x0000_s15612"/>
                </a:ext>
              </a:extLst>
            </xdr:cNvPicPr>
          </xdr:nvPicPr>
          <xdr:blipFill>
            <a:blip xmlns:r="http://schemas.openxmlformats.org/officeDocument/2006/relationships" r:embed="rId12"/>
            <a:srcRect/>
            <a:stretch>
              <a:fillRect/>
            </a:stretch>
          </xdr:blipFill>
          <xdr:spPr bwMode="auto">
            <a:xfrm>
              <a:off x="517765" y="831850"/>
              <a:ext cx="876300" cy="1841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200007</xdr:colOff>
      <xdr:row>7</xdr:row>
      <xdr:rowOff>44450</xdr:rowOff>
    </xdr:from>
    <xdr:to>
      <xdr:col>2</xdr:col>
      <xdr:colOff>447657</xdr:colOff>
      <xdr:row>8</xdr:row>
      <xdr:rowOff>0</xdr:rowOff>
    </xdr:to>
    <xdr:sp macro="" textlink="">
      <xdr:nvSpPr>
        <xdr:cNvPr id="58" name="TextBox 57">
          <a:extLst>
            <a:ext uri="{FF2B5EF4-FFF2-40B4-BE49-F238E27FC236}">
              <a16:creationId xmlns:a16="http://schemas.microsoft.com/office/drawing/2014/main" id="{48698BA9-E5EF-9602-F02F-E80FD8C73FE5}"/>
            </a:ext>
          </a:extLst>
        </xdr:cNvPr>
        <xdr:cNvSpPr txBox="1"/>
      </xdr:nvSpPr>
      <xdr:spPr>
        <a:xfrm>
          <a:off x="403207" y="1333500"/>
          <a:ext cx="857250" cy="139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rgbClr val="FF0000"/>
              </a:solidFill>
              <a:latin typeface="Arial Black" panose="020B0A04020102020204" pitchFamily="34" charset="0"/>
            </a:rPr>
            <a:t>Profit</a:t>
          </a:r>
          <a:endParaRPr lang="en-NG" sz="1100" b="0">
            <a:solidFill>
              <a:srgbClr val="FF0000"/>
            </a:solidFill>
            <a:latin typeface="Arial Black" panose="020B0A040201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212965</xdr:colOff>
          <xdr:row>11</xdr:row>
          <xdr:rowOff>19050</xdr:rowOff>
        </xdr:from>
        <xdr:to>
          <xdr:col>2</xdr:col>
          <xdr:colOff>479665</xdr:colOff>
          <xdr:row>12</xdr:row>
          <xdr:rowOff>19050</xdr:rowOff>
        </xdr:to>
        <xdr:pic>
          <xdr:nvPicPr>
            <xdr:cNvPr id="59" name="Picture 58">
              <a:extLst>
                <a:ext uri="{FF2B5EF4-FFF2-40B4-BE49-F238E27FC236}">
                  <a16:creationId xmlns:a16="http://schemas.microsoft.com/office/drawing/2014/main" id="{CC6B404A-47F5-963F-3C31-C416AA38CB68}"/>
                </a:ext>
              </a:extLst>
            </xdr:cNvPr>
            <xdr:cNvPicPr>
              <a:picLocks noChangeAspect="1" noChangeArrowheads="1"/>
              <a:extLst>
                <a:ext uri="{84589F7E-364E-4C9E-8A38-B11213B215E9}">
                  <a14:cameraTool cellRange="Pivot_Tables!$M$63" spid="_x0000_s15613"/>
                </a:ext>
              </a:extLst>
            </xdr:cNvPicPr>
          </xdr:nvPicPr>
          <xdr:blipFill>
            <a:blip xmlns:r="http://schemas.openxmlformats.org/officeDocument/2006/relationships" r:embed="rId13"/>
            <a:srcRect/>
            <a:stretch>
              <a:fillRect/>
            </a:stretch>
          </xdr:blipFill>
          <xdr:spPr bwMode="auto">
            <a:xfrm>
              <a:off x="416165" y="2044700"/>
              <a:ext cx="876300" cy="1841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314565</xdr:colOff>
          <xdr:row>12</xdr:row>
          <xdr:rowOff>12700</xdr:rowOff>
        </xdr:from>
        <xdr:to>
          <xdr:col>2</xdr:col>
          <xdr:colOff>314565</xdr:colOff>
          <xdr:row>13</xdr:row>
          <xdr:rowOff>12700</xdr:rowOff>
        </xdr:to>
        <xdr:pic>
          <xdr:nvPicPr>
            <xdr:cNvPr id="60" name="Picture 59">
              <a:extLst>
                <a:ext uri="{FF2B5EF4-FFF2-40B4-BE49-F238E27FC236}">
                  <a16:creationId xmlns:a16="http://schemas.microsoft.com/office/drawing/2014/main" id="{89A65EE9-92E0-EBB8-33AD-A3BA7817C5C4}"/>
                </a:ext>
              </a:extLst>
            </xdr:cNvPr>
            <xdr:cNvPicPr>
              <a:picLocks noChangeAspect="1" noChangeArrowheads="1"/>
              <a:extLst>
                <a:ext uri="{84589F7E-364E-4C9E-8A38-B11213B215E9}">
                  <a14:cameraTool cellRange="$W$5" spid="_x0000_s15614"/>
                </a:ext>
              </a:extLst>
            </xdr:cNvPicPr>
          </xdr:nvPicPr>
          <xdr:blipFill>
            <a:blip xmlns:r="http://schemas.openxmlformats.org/officeDocument/2006/relationships" r:embed="rId14"/>
            <a:srcRect/>
            <a:stretch>
              <a:fillRect/>
            </a:stretch>
          </xdr:blipFill>
          <xdr:spPr bwMode="auto">
            <a:xfrm>
              <a:off x="384415" y="2222500"/>
              <a:ext cx="609600" cy="1841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197090</xdr:colOff>
      <xdr:row>10</xdr:row>
      <xdr:rowOff>69850</xdr:rowOff>
    </xdr:from>
    <xdr:to>
      <xdr:col>2</xdr:col>
      <xdr:colOff>444740</xdr:colOff>
      <xdr:row>11</xdr:row>
      <xdr:rowOff>25400</xdr:rowOff>
    </xdr:to>
    <xdr:sp macro="" textlink="">
      <xdr:nvSpPr>
        <xdr:cNvPr id="63" name="TextBox 62">
          <a:extLst>
            <a:ext uri="{FF2B5EF4-FFF2-40B4-BE49-F238E27FC236}">
              <a16:creationId xmlns:a16="http://schemas.microsoft.com/office/drawing/2014/main" id="{BC50E9CC-5E45-693D-7ED6-16DE27D20302}"/>
            </a:ext>
          </a:extLst>
        </xdr:cNvPr>
        <xdr:cNvSpPr txBox="1"/>
      </xdr:nvSpPr>
      <xdr:spPr>
        <a:xfrm>
          <a:off x="400290" y="1911350"/>
          <a:ext cx="857250" cy="139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0">
              <a:solidFill>
                <a:srgbClr val="FF0000"/>
              </a:solidFill>
              <a:latin typeface="Arial Black" panose="020B0A04020102020204" pitchFamily="34" charset="0"/>
            </a:rPr>
            <a:t>Cost</a:t>
          </a:r>
          <a:endParaRPr lang="en-NG" sz="1100" b="0">
            <a:solidFill>
              <a:srgbClr val="FF0000"/>
            </a:solidFill>
            <a:latin typeface="Arial Black" panose="020B0A040201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184150</xdr:colOff>
          <xdr:row>8</xdr:row>
          <xdr:rowOff>6350</xdr:rowOff>
        </xdr:from>
        <xdr:to>
          <xdr:col>2</xdr:col>
          <xdr:colOff>450850</xdr:colOff>
          <xdr:row>9</xdr:row>
          <xdr:rowOff>6350</xdr:rowOff>
        </xdr:to>
        <xdr:pic>
          <xdr:nvPicPr>
            <xdr:cNvPr id="65" name="Picture 64">
              <a:extLst>
                <a:ext uri="{FF2B5EF4-FFF2-40B4-BE49-F238E27FC236}">
                  <a16:creationId xmlns:a16="http://schemas.microsoft.com/office/drawing/2014/main" id="{009D19E3-3B68-C7A3-1685-A27BE702894A}"/>
                </a:ext>
              </a:extLst>
            </xdr:cNvPr>
            <xdr:cNvPicPr>
              <a:picLocks noChangeAspect="1" noChangeArrowheads="1"/>
              <a:extLst>
                <a:ext uri="{84589F7E-364E-4C9E-8A38-B11213B215E9}">
                  <a14:cameraTool cellRange="Pivot_Tables!$M$32" spid="_x0000_s15615"/>
                </a:ext>
              </a:extLst>
            </xdr:cNvPicPr>
          </xdr:nvPicPr>
          <xdr:blipFill>
            <a:blip xmlns:r="http://schemas.openxmlformats.org/officeDocument/2006/relationships" r:embed="rId15"/>
            <a:srcRect/>
            <a:stretch>
              <a:fillRect/>
            </a:stretch>
          </xdr:blipFill>
          <xdr:spPr bwMode="auto">
            <a:xfrm>
              <a:off x="387350" y="1479550"/>
              <a:ext cx="876300" cy="1841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101600</xdr:colOff>
          <xdr:row>14</xdr:row>
          <xdr:rowOff>146050</xdr:rowOff>
        </xdr:from>
        <xdr:to>
          <xdr:col>2</xdr:col>
          <xdr:colOff>368300</xdr:colOff>
          <xdr:row>15</xdr:row>
          <xdr:rowOff>165100</xdr:rowOff>
        </xdr:to>
        <xdr:pic>
          <xdr:nvPicPr>
            <xdr:cNvPr id="68" name="Picture 67">
              <a:extLst>
                <a:ext uri="{FF2B5EF4-FFF2-40B4-BE49-F238E27FC236}">
                  <a16:creationId xmlns:a16="http://schemas.microsoft.com/office/drawing/2014/main" id="{23576A3A-BCC9-0C77-0723-16D27515C0AE}"/>
                </a:ext>
              </a:extLst>
            </xdr:cNvPr>
            <xdr:cNvPicPr>
              <a:picLocks noChangeAspect="1" noChangeArrowheads="1"/>
              <a:extLst>
                <a:ext uri="{84589F7E-364E-4C9E-8A38-B11213B215E9}">
                  <a14:cameraTool cellRange="Pivot_Tables!$M$42" spid="_x0000_s15616"/>
                </a:ext>
              </a:extLst>
            </xdr:cNvPicPr>
          </xdr:nvPicPr>
          <xdr:blipFill>
            <a:blip xmlns:r="http://schemas.openxmlformats.org/officeDocument/2006/relationships" r:embed="rId16"/>
            <a:srcRect/>
            <a:stretch>
              <a:fillRect/>
            </a:stretch>
          </xdr:blipFill>
          <xdr:spPr bwMode="auto">
            <a:xfrm>
              <a:off x="304800" y="2724150"/>
              <a:ext cx="876300" cy="203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15</xdr:row>
          <xdr:rowOff>146050</xdr:rowOff>
        </xdr:from>
        <xdr:to>
          <xdr:col>2</xdr:col>
          <xdr:colOff>406400</xdr:colOff>
          <xdr:row>16</xdr:row>
          <xdr:rowOff>146050</xdr:rowOff>
        </xdr:to>
        <xdr:pic>
          <xdr:nvPicPr>
            <xdr:cNvPr id="69" name="Picture 68">
              <a:extLst>
                <a:ext uri="{FF2B5EF4-FFF2-40B4-BE49-F238E27FC236}">
                  <a16:creationId xmlns:a16="http://schemas.microsoft.com/office/drawing/2014/main" id="{ABA2C091-304A-0CEB-74C0-7B9582D553F3}"/>
                </a:ext>
              </a:extLst>
            </xdr:cNvPr>
            <xdr:cNvPicPr>
              <a:picLocks noChangeAspect="1" noChangeArrowheads="1"/>
              <a:extLst>
                <a:ext uri="{84589F7E-364E-4C9E-8A38-B11213B215E9}">
                  <a14:cameraTool cellRange="$W$6" spid="_x0000_s15617"/>
                </a:ext>
              </a:extLst>
            </xdr:cNvPicPr>
          </xdr:nvPicPr>
          <xdr:blipFill>
            <a:blip xmlns:r="http://schemas.openxmlformats.org/officeDocument/2006/relationships" r:embed="rId17"/>
            <a:srcRect/>
            <a:stretch>
              <a:fillRect/>
            </a:stretch>
          </xdr:blipFill>
          <xdr:spPr bwMode="auto">
            <a:xfrm>
              <a:off x="476250" y="2908300"/>
              <a:ext cx="609600" cy="1841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88900</xdr:colOff>
      <xdr:row>13</xdr:row>
      <xdr:rowOff>146050</xdr:rowOff>
    </xdr:from>
    <xdr:to>
      <xdr:col>2</xdr:col>
      <xdr:colOff>584200</xdr:colOff>
      <xdr:row>14</xdr:row>
      <xdr:rowOff>158750</xdr:rowOff>
    </xdr:to>
    <xdr:sp macro="" textlink="">
      <xdr:nvSpPr>
        <xdr:cNvPr id="70" name="TextBox 69">
          <a:extLst>
            <a:ext uri="{FF2B5EF4-FFF2-40B4-BE49-F238E27FC236}">
              <a16:creationId xmlns:a16="http://schemas.microsoft.com/office/drawing/2014/main" id="{FCE57A90-B8A8-1891-08FB-B27054B6FD6C}"/>
            </a:ext>
          </a:extLst>
        </xdr:cNvPr>
        <xdr:cNvSpPr txBox="1"/>
      </xdr:nvSpPr>
      <xdr:spPr>
        <a:xfrm>
          <a:off x="158750" y="2540000"/>
          <a:ext cx="110490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900" b="1">
              <a:solidFill>
                <a:srgbClr val="FF0000"/>
              </a:solidFill>
              <a:latin typeface="Arial Black" panose="020B0A04020102020204" pitchFamily="34" charset="0"/>
            </a:rPr>
            <a:t>Quantity</a:t>
          </a:r>
          <a:r>
            <a:rPr lang="en-GB" sz="900" b="1" baseline="0">
              <a:solidFill>
                <a:srgbClr val="FF0000"/>
              </a:solidFill>
              <a:latin typeface="Arial Black" panose="020B0A04020102020204" pitchFamily="34" charset="0"/>
            </a:rPr>
            <a:t> Sold</a:t>
          </a:r>
          <a:endParaRPr lang="en-NG" sz="900" b="1">
            <a:solidFill>
              <a:srgbClr val="FF0000"/>
            </a:solidFill>
            <a:latin typeface="Arial Black" panose="020B0A04020102020204" pitchFamily="34" charset="0"/>
          </a:endParaRPr>
        </a:p>
      </xdr:txBody>
    </xdr:sp>
    <xdr:clientData/>
  </xdr:twoCellAnchor>
  <xdr:twoCellAnchor>
    <xdr:from>
      <xdr:col>1</xdr:col>
      <xdr:colOff>31715</xdr:colOff>
      <xdr:row>16</xdr:row>
      <xdr:rowOff>169331</xdr:rowOff>
    </xdr:from>
    <xdr:to>
      <xdr:col>3</xdr:col>
      <xdr:colOff>515</xdr:colOff>
      <xdr:row>20</xdr:row>
      <xdr:rowOff>51931</xdr:rowOff>
    </xdr:to>
    <xdr:sp macro="" textlink="">
      <xdr:nvSpPr>
        <xdr:cNvPr id="30" name="Rectangle: Rounded Corners 29">
          <a:extLst>
            <a:ext uri="{FF2B5EF4-FFF2-40B4-BE49-F238E27FC236}">
              <a16:creationId xmlns:a16="http://schemas.microsoft.com/office/drawing/2014/main" id="{FC257937-0968-8A71-10B2-BFC3AF6A1DDE}"/>
            </a:ext>
          </a:extLst>
        </xdr:cNvPr>
        <xdr:cNvSpPr/>
      </xdr:nvSpPr>
      <xdr:spPr>
        <a:xfrm>
          <a:off x="234915" y="3115731"/>
          <a:ext cx="1188000" cy="619200"/>
        </a:xfrm>
        <a:prstGeom prst="roundRect">
          <a:avLst>
            <a:gd name="adj" fmla="val 13542"/>
          </a:avLst>
        </a:prstGeom>
        <a:solidFill>
          <a:schemeClr val="tx2">
            <a:lumMod val="10000"/>
            <a:lumOff val="90000"/>
            <a:alpha val="75000"/>
          </a:schemeClr>
        </a:soli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203200</xdr:colOff>
          <xdr:row>18</xdr:row>
          <xdr:rowOff>6350</xdr:rowOff>
        </xdr:from>
        <xdr:to>
          <xdr:col>2</xdr:col>
          <xdr:colOff>476250</xdr:colOff>
          <xdr:row>19</xdr:row>
          <xdr:rowOff>63500</xdr:rowOff>
        </xdr:to>
        <xdr:pic>
          <xdr:nvPicPr>
            <xdr:cNvPr id="71" name="Picture 70">
              <a:extLst>
                <a:ext uri="{FF2B5EF4-FFF2-40B4-BE49-F238E27FC236}">
                  <a16:creationId xmlns:a16="http://schemas.microsoft.com/office/drawing/2014/main" id="{B3147346-CAFA-54A3-BF7E-B4B9CCBC4CEE}"/>
                </a:ext>
              </a:extLst>
            </xdr:cNvPr>
            <xdr:cNvPicPr>
              <a:picLocks noChangeAspect="1" noChangeArrowheads="1"/>
              <a:extLst>
                <a:ext uri="{84589F7E-364E-4C9E-8A38-B11213B215E9}">
                  <a14:cameraTool cellRange="Pivot_Tables!$M$52" spid="_x0000_s15618"/>
                </a:ext>
              </a:extLst>
            </xdr:cNvPicPr>
          </xdr:nvPicPr>
          <xdr:blipFill>
            <a:blip xmlns:r="http://schemas.openxmlformats.org/officeDocument/2006/relationships" r:embed="rId18"/>
            <a:srcRect/>
            <a:stretch>
              <a:fillRect/>
            </a:stretch>
          </xdr:blipFill>
          <xdr:spPr bwMode="auto">
            <a:xfrm>
              <a:off x="406400" y="3321050"/>
              <a:ext cx="882650" cy="241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19</xdr:row>
          <xdr:rowOff>12700</xdr:rowOff>
        </xdr:from>
        <xdr:to>
          <xdr:col>2</xdr:col>
          <xdr:colOff>361950</xdr:colOff>
          <xdr:row>20</xdr:row>
          <xdr:rowOff>12700</xdr:rowOff>
        </xdr:to>
        <xdr:pic>
          <xdr:nvPicPr>
            <xdr:cNvPr id="72" name="Picture 71">
              <a:extLst>
                <a:ext uri="{FF2B5EF4-FFF2-40B4-BE49-F238E27FC236}">
                  <a16:creationId xmlns:a16="http://schemas.microsoft.com/office/drawing/2014/main" id="{38EE8007-3026-9A8C-DAA2-6E70E92975BD}"/>
                </a:ext>
              </a:extLst>
            </xdr:cNvPr>
            <xdr:cNvPicPr>
              <a:picLocks noChangeAspect="1" noChangeArrowheads="1"/>
              <a:extLst>
                <a:ext uri="{84589F7E-364E-4C9E-8A38-B11213B215E9}">
                  <a14:cameraTool cellRange="$W$7" spid="_x0000_s15619"/>
                </a:ext>
              </a:extLst>
            </xdr:cNvPicPr>
          </xdr:nvPicPr>
          <xdr:blipFill>
            <a:blip xmlns:r="http://schemas.openxmlformats.org/officeDocument/2006/relationships" r:embed="rId19"/>
            <a:srcRect/>
            <a:stretch>
              <a:fillRect/>
            </a:stretch>
          </xdr:blipFill>
          <xdr:spPr bwMode="auto">
            <a:xfrm>
              <a:off x="431800" y="3511550"/>
              <a:ext cx="609600" cy="184150"/>
            </a:xfrm>
            <a:prstGeom prst="rect">
              <a:avLst/>
            </a:prstGeom>
            <a:noFill/>
            <a:ln>
              <a:noFill/>
            </a:ln>
          </xdr:spPr>
        </xdr:pic>
        <xdr:clientData/>
      </xdr:twoCellAnchor>
    </mc:Choice>
    <mc:Fallback/>
  </mc:AlternateContent>
  <xdr:twoCellAnchor>
    <xdr:from>
      <xdr:col>1</xdr:col>
      <xdr:colOff>76200</xdr:colOff>
      <xdr:row>17</xdr:row>
      <xdr:rowOff>57150</xdr:rowOff>
    </xdr:from>
    <xdr:to>
      <xdr:col>2</xdr:col>
      <xdr:colOff>489190</xdr:colOff>
      <xdr:row>18</xdr:row>
      <xdr:rowOff>0</xdr:rowOff>
    </xdr:to>
    <xdr:sp macro="" textlink="">
      <xdr:nvSpPr>
        <xdr:cNvPr id="73" name="TextBox 72">
          <a:extLst>
            <a:ext uri="{FF2B5EF4-FFF2-40B4-BE49-F238E27FC236}">
              <a16:creationId xmlns:a16="http://schemas.microsoft.com/office/drawing/2014/main" id="{E8012FD9-77E3-C873-AD0B-F33A12456C2B}"/>
            </a:ext>
          </a:extLst>
        </xdr:cNvPr>
        <xdr:cNvSpPr txBox="1"/>
      </xdr:nvSpPr>
      <xdr:spPr>
        <a:xfrm>
          <a:off x="279400" y="3187700"/>
          <a:ext cx="1022590" cy="127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b="0">
              <a:solidFill>
                <a:srgbClr val="FF0000"/>
              </a:solidFill>
              <a:latin typeface="Arial Black" panose="020B0A04020102020204" pitchFamily="34" charset="0"/>
            </a:rPr>
            <a:t>Total Discount</a:t>
          </a:r>
          <a:endParaRPr lang="en-NG" sz="800" b="0">
            <a:solidFill>
              <a:srgbClr val="FF0000"/>
            </a:solidFill>
            <a:latin typeface="Arial Black" panose="020B0A04020102020204" pitchFamily="34" charset="0"/>
          </a:endParaRPr>
        </a:p>
      </xdr:txBody>
    </xdr:sp>
    <xdr:clientData/>
  </xdr:twoCellAnchor>
  <xdr:twoCellAnchor editAs="oneCell">
    <xdr:from>
      <xdr:col>1</xdr:col>
      <xdr:colOff>13382</xdr:colOff>
      <xdr:row>4</xdr:row>
      <xdr:rowOff>121332</xdr:rowOff>
    </xdr:from>
    <xdr:to>
      <xdr:col>1</xdr:col>
      <xdr:colOff>317500</xdr:colOff>
      <xdr:row>6</xdr:row>
      <xdr:rowOff>57150</xdr:rowOff>
    </xdr:to>
    <xdr:pic>
      <xdr:nvPicPr>
        <xdr:cNvPr id="10" name="Picture 9">
          <a:extLst>
            <a:ext uri="{FF2B5EF4-FFF2-40B4-BE49-F238E27FC236}">
              <a16:creationId xmlns:a16="http://schemas.microsoft.com/office/drawing/2014/main" id="{795253C9-A075-8692-9316-BC0A1D5D8915}"/>
            </a:ext>
          </a:extLst>
        </xdr:cNvPr>
        <xdr:cNvPicPr>
          <a:picLocks noChangeAspect="1"/>
        </xdr:cNvPicPr>
      </xdr:nvPicPr>
      <xdr:blipFill>
        <a:blip xmlns:r="http://schemas.openxmlformats.org/officeDocument/2006/relationships" r:embed="rId20" cstate="print">
          <a:duotone>
            <a:prstClr val="black"/>
            <a:schemeClr val="accent6">
              <a:tint val="45000"/>
              <a:satMod val="400000"/>
            </a:schemeClr>
          </a:duotone>
          <a:extLst>
            <a:ext uri="{BEBA8EAE-BF5A-486C-A8C5-ECC9F3942E4B}">
              <a14:imgProps xmlns:a14="http://schemas.microsoft.com/office/drawing/2010/main">
                <a14:imgLayer r:embed="rId21">
                  <a14:imgEffect>
                    <a14:sharpenSoften amount="50000"/>
                  </a14:imgEffect>
                  <a14:imgEffect>
                    <a14:colorTemperature colorTemp="4379"/>
                  </a14:imgEffect>
                  <a14:imgEffect>
                    <a14:brightnessContrast bright="-42000"/>
                  </a14:imgEffect>
                </a14:imgLayer>
              </a14:imgProps>
            </a:ext>
            <a:ext uri="{28A0092B-C50C-407E-A947-70E740481C1C}">
              <a14:useLocalDpi xmlns:a14="http://schemas.microsoft.com/office/drawing/2010/main" val="0"/>
            </a:ext>
          </a:extLst>
        </a:blip>
        <a:stretch>
          <a:fillRect/>
        </a:stretch>
      </xdr:blipFill>
      <xdr:spPr>
        <a:xfrm>
          <a:off x="83232" y="857932"/>
          <a:ext cx="304118" cy="304118"/>
        </a:xfrm>
        <a:prstGeom prst="rect">
          <a:avLst/>
        </a:prstGeom>
        <a:noFill/>
      </xdr:spPr>
    </xdr:pic>
    <xdr:clientData/>
  </xdr:twoCellAnchor>
  <xdr:twoCellAnchor editAs="oneCell">
    <xdr:from>
      <xdr:col>1</xdr:col>
      <xdr:colOff>46682</xdr:colOff>
      <xdr:row>10</xdr:row>
      <xdr:rowOff>116532</xdr:rowOff>
    </xdr:from>
    <xdr:to>
      <xdr:col>1</xdr:col>
      <xdr:colOff>419100</xdr:colOff>
      <xdr:row>12</xdr:row>
      <xdr:rowOff>120650</xdr:rowOff>
    </xdr:to>
    <xdr:pic>
      <xdr:nvPicPr>
        <xdr:cNvPr id="19" name="Picture 18">
          <a:extLst>
            <a:ext uri="{FF2B5EF4-FFF2-40B4-BE49-F238E27FC236}">
              <a16:creationId xmlns:a16="http://schemas.microsoft.com/office/drawing/2014/main" id="{4E8EB977-2ECC-AC90-088D-B5C82C025AE6}"/>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116532" y="1958032"/>
          <a:ext cx="372418" cy="372418"/>
        </a:xfrm>
        <a:prstGeom prst="rect">
          <a:avLst/>
        </a:prstGeom>
      </xdr:spPr>
    </xdr:pic>
    <xdr:clientData/>
  </xdr:twoCellAnchor>
  <xdr:twoCellAnchor editAs="oneCell">
    <xdr:from>
      <xdr:col>1</xdr:col>
      <xdr:colOff>49634</xdr:colOff>
      <xdr:row>18</xdr:row>
      <xdr:rowOff>43284</xdr:rowOff>
    </xdr:from>
    <xdr:to>
      <xdr:col>1</xdr:col>
      <xdr:colOff>349250</xdr:colOff>
      <xdr:row>19</xdr:row>
      <xdr:rowOff>158750</xdr:rowOff>
    </xdr:to>
    <xdr:pic>
      <xdr:nvPicPr>
        <xdr:cNvPr id="53" name="Picture 52">
          <a:extLst>
            <a:ext uri="{FF2B5EF4-FFF2-40B4-BE49-F238E27FC236}">
              <a16:creationId xmlns:a16="http://schemas.microsoft.com/office/drawing/2014/main" id="{50373EE4-DDAF-C8CD-753F-421CE2B634FF}"/>
            </a:ext>
          </a:extLst>
        </xdr:cNvPr>
        <xdr:cNvPicPr>
          <a:picLocks noChangeAspect="1"/>
        </xdr:cNvPicPr>
      </xdr:nvPicPr>
      <xdr:blipFill>
        <a:blip xmlns:r="http://schemas.openxmlformats.org/officeDocument/2006/relationships" r:embed="rId23" cstate="print">
          <a:alphaModFix amt="99000"/>
          <a:duotone>
            <a:prstClr val="black"/>
            <a:schemeClr val="accent1">
              <a:tint val="45000"/>
              <a:satMod val="400000"/>
            </a:schemeClr>
          </a:duotone>
          <a:extLst>
            <a:ext uri="{BEBA8EAE-BF5A-486C-A8C5-ECC9F3942E4B}">
              <a14:imgProps xmlns:a14="http://schemas.microsoft.com/office/drawing/2010/main">
                <a14:imgLayer r:embed="rId24">
                  <a14:imgEffect>
                    <a14:colorTemperature colorTemp="4430"/>
                  </a14:imgEffect>
                  <a14:imgEffect>
                    <a14:saturation sat="85000"/>
                  </a14:imgEffect>
                </a14:imgLayer>
              </a14:imgProps>
            </a:ext>
            <a:ext uri="{28A0092B-C50C-407E-A947-70E740481C1C}">
              <a14:useLocalDpi xmlns:a14="http://schemas.microsoft.com/office/drawing/2010/main" val="0"/>
            </a:ext>
          </a:extLst>
        </a:blip>
        <a:stretch>
          <a:fillRect/>
        </a:stretch>
      </xdr:blipFill>
      <xdr:spPr>
        <a:xfrm>
          <a:off x="119484" y="3357984"/>
          <a:ext cx="299616" cy="299616"/>
        </a:xfrm>
        <a:prstGeom prst="rect">
          <a:avLst/>
        </a:prstGeom>
      </xdr:spPr>
    </xdr:pic>
    <xdr:clientData/>
  </xdr:twoCellAnchor>
  <xdr:twoCellAnchor editAs="oneCell">
    <xdr:from>
      <xdr:col>20</xdr:col>
      <xdr:colOff>615950</xdr:colOff>
      <xdr:row>30</xdr:row>
      <xdr:rowOff>95250</xdr:rowOff>
    </xdr:from>
    <xdr:to>
      <xdr:col>22</xdr:col>
      <xdr:colOff>319840</xdr:colOff>
      <xdr:row>37</xdr:row>
      <xdr:rowOff>84890</xdr:rowOff>
    </xdr:to>
    <xdr:pic>
      <xdr:nvPicPr>
        <xdr:cNvPr id="67" name="Picture 66">
          <a:extLst>
            <a:ext uri="{FF2B5EF4-FFF2-40B4-BE49-F238E27FC236}">
              <a16:creationId xmlns:a16="http://schemas.microsoft.com/office/drawing/2014/main" id="{43F02080-2BFA-DD97-66D5-8D202A74229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12319000" y="5619750"/>
          <a:ext cx="1278690" cy="1278690"/>
        </a:xfrm>
        <a:prstGeom prst="rect">
          <a:avLst/>
        </a:prstGeom>
      </xdr:spPr>
    </xdr:pic>
    <xdr:clientData/>
  </xdr:twoCellAnchor>
  <xdr:twoCellAnchor editAs="oneCell">
    <xdr:from>
      <xdr:col>1</xdr:col>
      <xdr:colOff>83190</xdr:colOff>
      <xdr:row>7</xdr:row>
      <xdr:rowOff>83190</xdr:rowOff>
    </xdr:from>
    <xdr:to>
      <xdr:col>1</xdr:col>
      <xdr:colOff>355600</xdr:colOff>
      <xdr:row>8</xdr:row>
      <xdr:rowOff>171450</xdr:rowOff>
    </xdr:to>
    <xdr:pic>
      <xdr:nvPicPr>
        <xdr:cNvPr id="80" name="Picture 79">
          <a:extLst>
            <a:ext uri="{FF2B5EF4-FFF2-40B4-BE49-F238E27FC236}">
              <a16:creationId xmlns:a16="http://schemas.microsoft.com/office/drawing/2014/main" id="{30380D84-E0D3-D5F6-9C9D-8E3D3E293CD5}"/>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153040" y="1372240"/>
          <a:ext cx="272410" cy="272410"/>
        </a:xfrm>
        <a:prstGeom prst="rect">
          <a:avLst/>
        </a:prstGeom>
      </xdr:spPr>
    </xdr:pic>
    <xdr:clientData/>
  </xdr:twoCellAnchor>
  <xdr:twoCellAnchor editAs="oneCell">
    <xdr:from>
      <xdr:col>1</xdr:col>
      <xdr:colOff>19050</xdr:colOff>
      <xdr:row>14</xdr:row>
      <xdr:rowOff>104090</xdr:rowOff>
    </xdr:from>
    <xdr:to>
      <xdr:col>1</xdr:col>
      <xdr:colOff>431800</xdr:colOff>
      <xdr:row>16</xdr:row>
      <xdr:rowOff>148540</xdr:rowOff>
    </xdr:to>
    <xdr:pic>
      <xdr:nvPicPr>
        <xdr:cNvPr id="81" name="Picture 80">
          <a:extLst>
            <a:ext uri="{FF2B5EF4-FFF2-40B4-BE49-F238E27FC236}">
              <a16:creationId xmlns:a16="http://schemas.microsoft.com/office/drawing/2014/main" id="{F0633DD8-2E63-4041-AF61-AA104937E825}"/>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flipH="1">
          <a:off x="88900" y="2682190"/>
          <a:ext cx="412750" cy="412750"/>
        </a:xfrm>
        <a:prstGeom prst="rect">
          <a:avLst/>
        </a:prstGeom>
      </xdr:spPr>
    </xdr:pic>
    <xdr:clientData/>
  </xdr:twoCellAnchor>
  <xdr:twoCellAnchor>
    <xdr:from>
      <xdr:col>12</xdr:col>
      <xdr:colOff>495300</xdr:colOff>
      <xdr:row>14</xdr:row>
      <xdr:rowOff>79375</xdr:rowOff>
    </xdr:from>
    <xdr:to>
      <xdr:col>17</xdr:col>
      <xdr:colOff>546100</xdr:colOff>
      <xdr:row>26</xdr:row>
      <xdr:rowOff>180975</xdr:rowOff>
    </xdr:to>
    <xdr:graphicFrame macro="">
      <xdr:nvGraphicFramePr>
        <xdr:cNvPr id="6" name="LowestChart" hidden="1">
          <a:extLst>
            <a:ext uri="{FF2B5EF4-FFF2-40B4-BE49-F238E27FC236}">
              <a16:creationId xmlns:a16="http://schemas.microsoft.com/office/drawing/2014/main" id="{1BB9DA5E-99CE-4E4D-AEED-A50EC826E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12</xdr:col>
      <xdr:colOff>495300</xdr:colOff>
      <xdr:row>14</xdr:row>
      <xdr:rowOff>76200</xdr:rowOff>
    </xdr:from>
    <xdr:to>
      <xdr:col>18</xdr:col>
      <xdr:colOff>0</xdr:colOff>
      <xdr:row>27</xdr:row>
      <xdr:rowOff>0</xdr:rowOff>
    </xdr:to>
    <xdr:graphicFrame macro="">
      <xdr:nvGraphicFramePr>
        <xdr:cNvPr id="20" name="HighestChart">
          <a:extLst>
            <a:ext uri="{FF2B5EF4-FFF2-40B4-BE49-F238E27FC236}">
              <a16:creationId xmlns:a16="http://schemas.microsoft.com/office/drawing/2014/main" id="{427D8CC7-5028-4FB9-9685-5F8BE7D945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12</xdr:col>
      <xdr:colOff>514350</xdr:colOff>
      <xdr:row>14</xdr:row>
      <xdr:rowOff>136525</xdr:rowOff>
    </xdr:from>
    <xdr:to>
      <xdr:col>14</xdr:col>
      <xdr:colOff>361951</xdr:colOff>
      <xdr:row>16</xdr:row>
      <xdr:rowOff>15875</xdr:rowOff>
    </xdr:to>
    <xdr:grpSp>
      <xdr:nvGrpSpPr>
        <xdr:cNvPr id="89" name="Highestbtn">
          <a:extLst>
            <a:ext uri="{FF2B5EF4-FFF2-40B4-BE49-F238E27FC236}">
              <a16:creationId xmlns:a16="http://schemas.microsoft.com/office/drawing/2014/main" id="{904D96C2-8F2A-1020-D5FD-D9C8ADF35F45}"/>
            </a:ext>
          </a:extLst>
        </xdr:cNvPr>
        <xdr:cNvGrpSpPr/>
      </xdr:nvGrpSpPr>
      <xdr:grpSpPr>
        <a:xfrm>
          <a:off x="7289800" y="2714625"/>
          <a:ext cx="1066801" cy="247650"/>
          <a:chOff x="10394950" y="2724150"/>
          <a:chExt cx="1066801" cy="247650"/>
        </a:xfrm>
      </xdr:grpSpPr>
      <xdr:grpSp>
        <xdr:nvGrpSpPr>
          <xdr:cNvPr id="36" name="Lowest">
            <a:extLst>
              <a:ext uri="{FF2B5EF4-FFF2-40B4-BE49-F238E27FC236}">
                <a16:creationId xmlns:a16="http://schemas.microsoft.com/office/drawing/2014/main" id="{F47C332A-BFD0-EE4A-026C-0BA402C3BBC6}"/>
              </a:ext>
            </a:extLst>
          </xdr:cNvPr>
          <xdr:cNvGrpSpPr/>
        </xdr:nvGrpSpPr>
        <xdr:grpSpPr>
          <a:xfrm>
            <a:off x="11002517" y="2754400"/>
            <a:ext cx="459234" cy="187150"/>
            <a:chOff x="9186416" y="6000750"/>
            <a:chExt cx="932953" cy="546100"/>
          </a:xfrm>
          <a:solidFill>
            <a:schemeClr val="accent2">
              <a:lumMod val="50000"/>
            </a:schemeClr>
          </a:solidFill>
        </xdr:grpSpPr>
        <xdr:sp macro="[0]!Sheet1.HideShow" textlink="">
          <xdr:nvSpPr>
            <xdr:cNvPr id="23" name="Freeform: Shape 22">
              <a:extLst>
                <a:ext uri="{FF2B5EF4-FFF2-40B4-BE49-F238E27FC236}">
                  <a16:creationId xmlns:a16="http://schemas.microsoft.com/office/drawing/2014/main" id="{E441E4E4-A25B-F4D9-E277-0FB446987879}"/>
                </a:ext>
              </a:extLst>
            </xdr:cNvPr>
            <xdr:cNvSpPr/>
          </xdr:nvSpPr>
          <xdr:spPr>
            <a:xfrm>
              <a:off x="9419778" y="6013450"/>
              <a:ext cx="485278" cy="533400"/>
            </a:xfrm>
            <a:custGeom>
              <a:avLst/>
              <a:gdLst>
                <a:gd name="connsiteX0" fmla="*/ 181074 w 485278"/>
                <a:gd name="connsiteY0" fmla="*/ 0 h 533400"/>
                <a:gd name="connsiteX1" fmla="*/ 0 w 485278"/>
                <a:gd name="connsiteY1" fmla="*/ 0 h 533400"/>
                <a:gd name="connsiteX2" fmla="*/ 304205 w 485278"/>
                <a:gd name="connsiteY2" fmla="*/ 266700 h 533400"/>
                <a:gd name="connsiteX3" fmla="*/ 0 w 485278"/>
                <a:gd name="connsiteY3" fmla="*/ 533400 h 533400"/>
                <a:gd name="connsiteX4" fmla="*/ 181074 w 485278"/>
                <a:gd name="connsiteY4" fmla="*/ 533400 h 533400"/>
                <a:gd name="connsiteX5" fmla="*/ 485279 w 485278"/>
                <a:gd name="connsiteY5" fmla="*/ 266700 h 533400"/>
                <a:gd name="connsiteX6" fmla="*/ 181074 w 485278"/>
                <a:gd name="connsiteY6" fmla="*/ 0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85278" h="533400">
                  <a:moveTo>
                    <a:pt x="181074" y="0"/>
                  </a:moveTo>
                  <a:lnTo>
                    <a:pt x="0" y="0"/>
                  </a:lnTo>
                  <a:lnTo>
                    <a:pt x="304205" y="266700"/>
                  </a:lnTo>
                  <a:lnTo>
                    <a:pt x="0" y="533400"/>
                  </a:lnTo>
                  <a:lnTo>
                    <a:pt x="181074" y="533400"/>
                  </a:lnTo>
                  <a:lnTo>
                    <a:pt x="485279" y="266700"/>
                  </a:lnTo>
                  <a:lnTo>
                    <a:pt x="181074" y="0"/>
                  </a:lnTo>
                  <a:close/>
                </a:path>
              </a:pathLst>
            </a:custGeom>
            <a:grpFill/>
            <a:ln w="14486" cap="flat">
              <a:noFill/>
              <a:prstDash val="solid"/>
              <a:miter/>
            </a:ln>
          </xdr:spPr>
          <xdr:txBody>
            <a:bodyPr rtlCol="0" anchor="ctr"/>
            <a:lstStyle/>
            <a:p>
              <a:endParaRPr lang="en-NG">
                <a:solidFill>
                  <a:schemeClr val="accent2">
                    <a:lumMod val="50000"/>
                  </a:schemeClr>
                </a:solidFill>
              </a:endParaRPr>
            </a:p>
          </xdr:txBody>
        </xdr:sp>
        <xdr:sp macro="[0]!Sheet1.HideShow" textlink="">
          <xdr:nvSpPr>
            <xdr:cNvPr id="27" name="Freeform: Shape 26">
              <a:extLst>
                <a:ext uri="{FF2B5EF4-FFF2-40B4-BE49-F238E27FC236}">
                  <a16:creationId xmlns:a16="http://schemas.microsoft.com/office/drawing/2014/main" id="{379D716F-C559-6674-B64F-1B6AE5AE9DF2}"/>
                </a:ext>
              </a:extLst>
            </xdr:cNvPr>
            <xdr:cNvSpPr/>
          </xdr:nvSpPr>
          <xdr:spPr>
            <a:xfrm>
              <a:off x="9186416" y="6007100"/>
              <a:ext cx="485278" cy="533400"/>
            </a:xfrm>
            <a:custGeom>
              <a:avLst/>
              <a:gdLst>
                <a:gd name="connsiteX0" fmla="*/ 0 w 485278"/>
                <a:gd name="connsiteY0" fmla="*/ 533400 h 533400"/>
                <a:gd name="connsiteX1" fmla="*/ 181074 w 485278"/>
                <a:gd name="connsiteY1" fmla="*/ 533400 h 533400"/>
                <a:gd name="connsiteX2" fmla="*/ 485279 w 485278"/>
                <a:gd name="connsiteY2" fmla="*/ 266700 h 533400"/>
                <a:gd name="connsiteX3" fmla="*/ 181074 w 485278"/>
                <a:gd name="connsiteY3" fmla="*/ 0 h 533400"/>
                <a:gd name="connsiteX4" fmla="*/ 0 w 485278"/>
                <a:gd name="connsiteY4" fmla="*/ 0 h 533400"/>
                <a:gd name="connsiteX5" fmla="*/ 304205 w 485278"/>
                <a:gd name="connsiteY5" fmla="*/ 266700 h 533400"/>
                <a:gd name="connsiteX6" fmla="*/ 0 w 485278"/>
                <a:gd name="connsiteY6" fmla="*/ 533400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85278" h="533400">
                  <a:moveTo>
                    <a:pt x="0" y="533400"/>
                  </a:moveTo>
                  <a:lnTo>
                    <a:pt x="181074" y="533400"/>
                  </a:lnTo>
                  <a:lnTo>
                    <a:pt x="485279" y="266700"/>
                  </a:lnTo>
                  <a:lnTo>
                    <a:pt x="181074" y="0"/>
                  </a:lnTo>
                  <a:lnTo>
                    <a:pt x="0" y="0"/>
                  </a:lnTo>
                  <a:lnTo>
                    <a:pt x="304205" y="266700"/>
                  </a:lnTo>
                  <a:lnTo>
                    <a:pt x="0" y="533400"/>
                  </a:lnTo>
                  <a:close/>
                </a:path>
              </a:pathLst>
            </a:custGeom>
            <a:grpFill/>
            <a:ln w="14486" cap="flat">
              <a:noFill/>
              <a:prstDash val="solid"/>
              <a:miter/>
            </a:ln>
          </xdr:spPr>
          <xdr:txBody>
            <a:bodyPr rtlCol="0" anchor="ctr"/>
            <a:lstStyle/>
            <a:p>
              <a:endParaRPr lang="en-NG">
                <a:solidFill>
                  <a:schemeClr val="accent2">
                    <a:lumMod val="50000"/>
                  </a:schemeClr>
                </a:solidFill>
              </a:endParaRPr>
            </a:p>
          </xdr:txBody>
        </xdr:sp>
        <xdr:sp macro="[0]!Sheet1.HideShow" textlink="">
          <xdr:nvSpPr>
            <xdr:cNvPr id="28" name="Freeform: Shape 27">
              <a:extLst>
                <a:ext uri="{FF2B5EF4-FFF2-40B4-BE49-F238E27FC236}">
                  <a16:creationId xmlns:a16="http://schemas.microsoft.com/office/drawing/2014/main" id="{4BCAB617-D26D-6CE2-C7DB-C0C1B7AF3656}"/>
                </a:ext>
              </a:extLst>
            </xdr:cNvPr>
            <xdr:cNvSpPr/>
          </xdr:nvSpPr>
          <xdr:spPr>
            <a:xfrm>
              <a:off x="9634091" y="6000750"/>
              <a:ext cx="485278" cy="533400"/>
            </a:xfrm>
            <a:custGeom>
              <a:avLst/>
              <a:gdLst>
                <a:gd name="connsiteX0" fmla="*/ 181074 w 485278"/>
                <a:gd name="connsiteY0" fmla="*/ 0 h 533400"/>
                <a:gd name="connsiteX1" fmla="*/ 0 w 485278"/>
                <a:gd name="connsiteY1" fmla="*/ 0 h 533400"/>
                <a:gd name="connsiteX2" fmla="*/ 304205 w 485278"/>
                <a:gd name="connsiteY2" fmla="*/ 266700 h 533400"/>
                <a:gd name="connsiteX3" fmla="*/ 0 w 485278"/>
                <a:gd name="connsiteY3" fmla="*/ 533400 h 533400"/>
                <a:gd name="connsiteX4" fmla="*/ 181074 w 485278"/>
                <a:gd name="connsiteY4" fmla="*/ 533400 h 533400"/>
                <a:gd name="connsiteX5" fmla="*/ 485279 w 485278"/>
                <a:gd name="connsiteY5" fmla="*/ 266700 h 533400"/>
                <a:gd name="connsiteX6" fmla="*/ 181074 w 485278"/>
                <a:gd name="connsiteY6" fmla="*/ 0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85278" h="533400">
                  <a:moveTo>
                    <a:pt x="181074" y="0"/>
                  </a:moveTo>
                  <a:lnTo>
                    <a:pt x="0" y="0"/>
                  </a:lnTo>
                  <a:lnTo>
                    <a:pt x="304205" y="266700"/>
                  </a:lnTo>
                  <a:lnTo>
                    <a:pt x="0" y="533400"/>
                  </a:lnTo>
                  <a:lnTo>
                    <a:pt x="181074" y="533400"/>
                  </a:lnTo>
                  <a:lnTo>
                    <a:pt x="485279" y="266700"/>
                  </a:lnTo>
                  <a:lnTo>
                    <a:pt x="181074" y="0"/>
                  </a:lnTo>
                  <a:close/>
                </a:path>
              </a:pathLst>
            </a:custGeom>
            <a:grpFill/>
            <a:ln w="14486" cap="flat">
              <a:noFill/>
              <a:prstDash val="solid"/>
              <a:miter/>
            </a:ln>
          </xdr:spPr>
          <xdr:txBody>
            <a:bodyPr rtlCol="0" anchor="ctr"/>
            <a:lstStyle/>
            <a:p>
              <a:endParaRPr lang="en-NG">
                <a:solidFill>
                  <a:schemeClr val="accent2">
                    <a:lumMod val="50000"/>
                  </a:schemeClr>
                </a:solidFill>
              </a:endParaRPr>
            </a:p>
          </xdr:txBody>
        </xdr:sp>
      </xdr:grpSp>
      <xdr:sp macro="[0]!Sheet1.HideShow" textlink="">
        <xdr:nvSpPr>
          <xdr:cNvPr id="37" name="TextBox 36">
            <a:extLst>
              <a:ext uri="{FF2B5EF4-FFF2-40B4-BE49-F238E27FC236}">
                <a16:creationId xmlns:a16="http://schemas.microsoft.com/office/drawing/2014/main" id="{7DE66FB1-3A00-A54D-FDE7-1F555254368B}"/>
              </a:ext>
            </a:extLst>
          </xdr:cNvPr>
          <xdr:cNvSpPr txBox="1"/>
        </xdr:nvSpPr>
        <xdr:spPr>
          <a:xfrm>
            <a:off x="10394950" y="2724150"/>
            <a:ext cx="6286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accent2">
                    <a:lumMod val="50000"/>
                  </a:schemeClr>
                </a:solidFill>
              </a:rPr>
              <a:t>Highest</a:t>
            </a:r>
            <a:endParaRPr lang="en-NG" sz="1100" b="1">
              <a:solidFill>
                <a:schemeClr val="accent2">
                  <a:lumMod val="50000"/>
                </a:schemeClr>
              </a:solidFill>
            </a:endParaRPr>
          </a:p>
        </xdr:txBody>
      </xdr:sp>
    </xdr:grpSp>
    <xdr:clientData/>
  </xdr:twoCellAnchor>
  <xdr:twoCellAnchor>
    <xdr:from>
      <xdr:col>12</xdr:col>
      <xdr:colOff>517523</xdr:colOff>
      <xdr:row>14</xdr:row>
      <xdr:rowOff>127000</xdr:rowOff>
    </xdr:from>
    <xdr:to>
      <xdr:col>14</xdr:col>
      <xdr:colOff>358777</xdr:colOff>
      <xdr:row>16</xdr:row>
      <xdr:rowOff>25400</xdr:rowOff>
    </xdr:to>
    <xdr:grpSp>
      <xdr:nvGrpSpPr>
        <xdr:cNvPr id="87" name="Lowestbtn" hidden="1">
          <a:extLst>
            <a:ext uri="{FF2B5EF4-FFF2-40B4-BE49-F238E27FC236}">
              <a16:creationId xmlns:a16="http://schemas.microsoft.com/office/drawing/2014/main" id="{4DE8DAD8-0E0C-14BC-C91C-0ED3928E01C8}"/>
            </a:ext>
          </a:extLst>
        </xdr:cNvPr>
        <xdr:cNvGrpSpPr/>
      </xdr:nvGrpSpPr>
      <xdr:grpSpPr>
        <a:xfrm>
          <a:off x="7292973" y="2705100"/>
          <a:ext cx="1060454" cy="266700"/>
          <a:chOff x="10420350" y="2298700"/>
          <a:chExt cx="1060454" cy="266700"/>
        </a:xfrm>
      </xdr:grpSpPr>
      <xdr:sp macro="[0]!Sheet1.HideShow" textlink="">
        <xdr:nvSpPr>
          <xdr:cNvPr id="38" name="TextBox 37" hidden="1">
            <a:extLst>
              <a:ext uri="{FF2B5EF4-FFF2-40B4-BE49-F238E27FC236}">
                <a16:creationId xmlns:a16="http://schemas.microsoft.com/office/drawing/2014/main" id="{AA435E78-E8C5-E295-A32D-C284488A1484}"/>
              </a:ext>
            </a:extLst>
          </xdr:cNvPr>
          <xdr:cNvSpPr txBox="1"/>
        </xdr:nvSpPr>
        <xdr:spPr>
          <a:xfrm>
            <a:off x="10420350" y="2298700"/>
            <a:ext cx="6286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FF0000"/>
                </a:solidFill>
              </a:rPr>
              <a:t>Lowest</a:t>
            </a:r>
            <a:endParaRPr lang="en-NG" sz="1100" b="1">
              <a:solidFill>
                <a:srgbClr val="FF0000"/>
              </a:solidFill>
            </a:endParaRPr>
          </a:p>
        </xdr:txBody>
      </xdr:sp>
      <xdr:grpSp>
        <xdr:nvGrpSpPr>
          <xdr:cNvPr id="83" name="Lowest" hidden="1">
            <a:extLst>
              <a:ext uri="{FF2B5EF4-FFF2-40B4-BE49-F238E27FC236}">
                <a16:creationId xmlns:a16="http://schemas.microsoft.com/office/drawing/2014/main" id="{6FB955FA-7B34-068F-D032-75F02CD24D0E}"/>
              </a:ext>
            </a:extLst>
          </xdr:cNvPr>
          <xdr:cNvGrpSpPr/>
        </xdr:nvGrpSpPr>
        <xdr:grpSpPr>
          <a:xfrm>
            <a:off x="11002520" y="2338475"/>
            <a:ext cx="478284" cy="187150"/>
            <a:chOff x="9186416" y="6000750"/>
            <a:chExt cx="971653" cy="546100"/>
          </a:xfrm>
          <a:solidFill>
            <a:srgbClr val="FF0000"/>
          </a:solidFill>
        </xdr:grpSpPr>
        <xdr:sp macro="[0]!Sheet1.HideShow" textlink="">
          <xdr:nvSpPr>
            <xdr:cNvPr id="84" name="Freeform: Shape 83" hidden="1">
              <a:extLst>
                <a:ext uri="{FF2B5EF4-FFF2-40B4-BE49-F238E27FC236}">
                  <a16:creationId xmlns:a16="http://schemas.microsoft.com/office/drawing/2014/main" id="{6AE27205-DA03-76DC-93CA-5F97679C12C8}"/>
                </a:ext>
              </a:extLst>
            </xdr:cNvPr>
            <xdr:cNvSpPr/>
          </xdr:nvSpPr>
          <xdr:spPr>
            <a:xfrm>
              <a:off x="9419778" y="6013450"/>
              <a:ext cx="485278" cy="533400"/>
            </a:xfrm>
            <a:custGeom>
              <a:avLst/>
              <a:gdLst>
                <a:gd name="connsiteX0" fmla="*/ 181074 w 485278"/>
                <a:gd name="connsiteY0" fmla="*/ 0 h 533400"/>
                <a:gd name="connsiteX1" fmla="*/ 0 w 485278"/>
                <a:gd name="connsiteY1" fmla="*/ 0 h 533400"/>
                <a:gd name="connsiteX2" fmla="*/ 304205 w 485278"/>
                <a:gd name="connsiteY2" fmla="*/ 266700 h 533400"/>
                <a:gd name="connsiteX3" fmla="*/ 0 w 485278"/>
                <a:gd name="connsiteY3" fmla="*/ 533400 h 533400"/>
                <a:gd name="connsiteX4" fmla="*/ 181074 w 485278"/>
                <a:gd name="connsiteY4" fmla="*/ 533400 h 533400"/>
                <a:gd name="connsiteX5" fmla="*/ 485279 w 485278"/>
                <a:gd name="connsiteY5" fmla="*/ 266700 h 533400"/>
                <a:gd name="connsiteX6" fmla="*/ 181074 w 485278"/>
                <a:gd name="connsiteY6" fmla="*/ 0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85278" h="533400">
                  <a:moveTo>
                    <a:pt x="181074" y="0"/>
                  </a:moveTo>
                  <a:lnTo>
                    <a:pt x="0" y="0"/>
                  </a:lnTo>
                  <a:lnTo>
                    <a:pt x="304205" y="266700"/>
                  </a:lnTo>
                  <a:lnTo>
                    <a:pt x="0" y="533400"/>
                  </a:lnTo>
                  <a:lnTo>
                    <a:pt x="181074" y="533400"/>
                  </a:lnTo>
                  <a:lnTo>
                    <a:pt x="485279" y="266700"/>
                  </a:lnTo>
                  <a:lnTo>
                    <a:pt x="181074" y="0"/>
                  </a:lnTo>
                  <a:close/>
                </a:path>
              </a:pathLst>
            </a:custGeom>
            <a:grpFill/>
            <a:ln w="14486" cap="flat">
              <a:noFill/>
              <a:prstDash val="solid"/>
              <a:miter/>
            </a:ln>
          </xdr:spPr>
          <xdr:txBody>
            <a:bodyPr rtlCol="0" anchor="ctr"/>
            <a:lstStyle/>
            <a:p>
              <a:endParaRPr lang="en-NG">
                <a:solidFill>
                  <a:schemeClr val="accent2">
                    <a:lumMod val="50000"/>
                  </a:schemeClr>
                </a:solidFill>
              </a:endParaRPr>
            </a:p>
          </xdr:txBody>
        </xdr:sp>
        <xdr:sp macro="[0]!Sheet1.HideShow" textlink="">
          <xdr:nvSpPr>
            <xdr:cNvPr id="85" name="Freeform: Shape 84" hidden="1">
              <a:extLst>
                <a:ext uri="{FF2B5EF4-FFF2-40B4-BE49-F238E27FC236}">
                  <a16:creationId xmlns:a16="http://schemas.microsoft.com/office/drawing/2014/main" id="{8DA46DB6-CC84-AD6D-6525-74641F761FA6}"/>
                </a:ext>
              </a:extLst>
            </xdr:cNvPr>
            <xdr:cNvSpPr/>
          </xdr:nvSpPr>
          <xdr:spPr>
            <a:xfrm>
              <a:off x="9186416" y="6007100"/>
              <a:ext cx="485278" cy="533400"/>
            </a:xfrm>
            <a:custGeom>
              <a:avLst/>
              <a:gdLst>
                <a:gd name="connsiteX0" fmla="*/ 0 w 485278"/>
                <a:gd name="connsiteY0" fmla="*/ 533400 h 533400"/>
                <a:gd name="connsiteX1" fmla="*/ 181074 w 485278"/>
                <a:gd name="connsiteY1" fmla="*/ 533400 h 533400"/>
                <a:gd name="connsiteX2" fmla="*/ 485279 w 485278"/>
                <a:gd name="connsiteY2" fmla="*/ 266700 h 533400"/>
                <a:gd name="connsiteX3" fmla="*/ 181074 w 485278"/>
                <a:gd name="connsiteY3" fmla="*/ 0 h 533400"/>
                <a:gd name="connsiteX4" fmla="*/ 0 w 485278"/>
                <a:gd name="connsiteY4" fmla="*/ 0 h 533400"/>
                <a:gd name="connsiteX5" fmla="*/ 304205 w 485278"/>
                <a:gd name="connsiteY5" fmla="*/ 266700 h 533400"/>
                <a:gd name="connsiteX6" fmla="*/ 0 w 485278"/>
                <a:gd name="connsiteY6" fmla="*/ 533400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85278" h="533400">
                  <a:moveTo>
                    <a:pt x="0" y="533400"/>
                  </a:moveTo>
                  <a:lnTo>
                    <a:pt x="181074" y="533400"/>
                  </a:lnTo>
                  <a:lnTo>
                    <a:pt x="485279" y="266700"/>
                  </a:lnTo>
                  <a:lnTo>
                    <a:pt x="181074" y="0"/>
                  </a:lnTo>
                  <a:lnTo>
                    <a:pt x="0" y="0"/>
                  </a:lnTo>
                  <a:lnTo>
                    <a:pt x="304205" y="266700"/>
                  </a:lnTo>
                  <a:lnTo>
                    <a:pt x="0" y="533400"/>
                  </a:lnTo>
                  <a:close/>
                </a:path>
              </a:pathLst>
            </a:custGeom>
            <a:grpFill/>
            <a:ln w="14486" cap="flat">
              <a:noFill/>
              <a:prstDash val="solid"/>
              <a:miter/>
            </a:ln>
          </xdr:spPr>
          <xdr:txBody>
            <a:bodyPr rtlCol="0" anchor="ctr"/>
            <a:lstStyle/>
            <a:p>
              <a:endParaRPr lang="en-NG">
                <a:solidFill>
                  <a:schemeClr val="accent2">
                    <a:lumMod val="50000"/>
                  </a:schemeClr>
                </a:solidFill>
              </a:endParaRPr>
            </a:p>
          </xdr:txBody>
        </xdr:sp>
        <xdr:sp macro="[0]!Sheet1.HideShow" textlink="">
          <xdr:nvSpPr>
            <xdr:cNvPr id="86" name="Freeform: Shape 85" hidden="1">
              <a:extLst>
                <a:ext uri="{FF2B5EF4-FFF2-40B4-BE49-F238E27FC236}">
                  <a16:creationId xmlns:a16="http://schemas.microsoft.com/office/drawing/2014/main" id="{8020292E-1D11-49AD-2305-5FC84C14C057}"/>
                </a:ext>
              </a:extLst>
            </xdr:cNvPr>
            <xdr:cNvSpPr/>
          </xdr:nvSpPr>
          <xdr:spPr>
            <a:xfrm>
              <a:off x="9672791" y="6000750"/>
              <a:ext cx="485278" cy="533401"/>
            </a:xfrm>
            <a:custGeom>
              <a:avLst/>
              <a:gdLst>
                <a:gd name="connsiteX0" fmla="*/ 181074 w 485278"/>
                <a:gd name="connsiteY0" fmla="*/ 0 h 533400"/>
                <a:gd name="connsiteX1" fmla="*/ 0 w 485278"/>
                <a:gd name="connsiteY1" fmla="*/ 0 h 533400"/>
                <a:gd name="connsiteX2" fmla="*/ 304205 w 485278"/>
                <a:gd name="connsiteY2" fmla="*/ 266700 h 533400"/>
                <a:gd name="connsiteX3" fmla="*/ 0 w 485278"/>
                <a:gd name="connsiteY3" fmla="*/ 533400 h 533400"/>
                <a:gd name="connsiteX4" fmla="*/ 181074 w 485278"/>
                <a:gd name="connsiteY4" fmla="*/ 533400 h 533400"/>
                <a:gd name="connsiteX5" fmla="*/ 485279 w 485278"/>
                <a:gd name="connsiteY5" fmla="*/ 266700 h 533400"/>
                <a:gd name="connsiteX6" fmla="*/ 181074 w 485278"/>
                <a:gd name="connsiteY6" fmla="*/ 0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85278" h="533400">
                  <a:moveTo>
                    <a:pt x="181074" y="0"/>
                  </a:moveTo>
                  <a:lnTo>
                    <a:pt x="0" y="0"/>
                  </a:lnTo>
                  <a:lnTo>
                    <a:pt x="304205" y="266700"/>
                  </a:lnTo>
                  <a:lnTo>
                    <a:pt x="0" y="533400"/>
                  </a:lnTo>
                  <a:lnTo>
                    <a:pt x="181074" y="533400"/>
                  </a:lnTo>
                  <a:lnTo>
                    <a:pt x="485279" y="266700"/>
                  </a:lnTo>
                  <a:lnTo>
                    <a:pt x="181074" y="0"/>
                  </a:lnTo>
                  <a:close/>
                </a:path>
              </a:pathLst>
            </a:custGeom>
            <a:grpFill/>
            <a:ln w="14486" cap="flat">
              <a:noFill/>
              <a:prstDash val="solid"/>
              <a:miter/>
            </a:ln>
          </xdr:spPr>
          <xdr:txBody>
            <a:bodyPr rtlCol="0" anchor="ctr"/>
            <a:lstStyle/>
            <a:p>
              <a:endParaRPr lang="en-NG">
                <a:solidFill>
                  <a:schemeClr val="accent2">
                    <a:lumMod val="50000"/>
                  </a:schemeClr>
                </a:solidFill>
              </a:endParaRPr>
            </a:p>
          </xdr:txBody>
        </xdr:sp>
      </xdr:grpSp>
    </xdr:grpSp>
    <xdr:clientData/>
  </xdr:twoCellAnchor>
  <xdr:twoCellAnchor>
    <xdr:from>
      <xdr:col>7</xdr:col>
      <xdr:colOff>120650</xdr:colOff>
      <xdr:row>1</xdr:row>
      <xdr:rowOff>19050</xdr:rowOff>
    </xdr:from>
    <xdr:to>
      <xdr:col>8</xdr:col>
      <xdr:colOff>107950</xdr:colOff>
      <xdr:row>2</xdr:row>
      <xdr:rowOff>25400</xdr:rowOff>
    </xdr:to>
    <xdr:sp macro="[0]!unfilter1" textlink="">
      <xdr:nvSpPr>
        <xdr:cNvPr id="91" name="Rectangle: Rounded Corners 90">
          <a:extLst>
            <a:ext uri="{FF2B5EF4-FFF2-40B4-BE49-F238E27FC236}">
              <a16:creationId xmlns:a16="http://schemas.microsoft.com/office/drawing/2014/main" id="{0ABE6887-2BE6-8DFE-F8DB-B803CCC3F135}"/>
            </a:ext>
          </a:extLst>
        </xdr:cNvPr>
        <xdr:cNvSpPr/>
      </xdr:nvSpPr>
      <xdr:spPr>
        <a:xfrm>
          <a:off x="3848100" y="203200"/>
          <a:ext cx="596900" cy="190500"/>
        </a:xfrm>
        <a:prstGeom prst="roundRect">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latin typeface="Times New Roman" panose="02020603050405020304" pitchFamily="18" charset="0"/>
              <a:cs typeface="Times New Roman" panose="02020603050405020304" pitchFamily="18" charset="0"/>
            </a:rPr>
            <a:t>Unfilter</a:t>
          </a:r>
          <a:endParaRPr lang="en-NG" sz="900" b="1">
            <a:latin typeface="Times New Roman" panose="02020603050405020304" pitchFamily="18" charset="0"/>
            <a:cs typeface="Times New Roman" panose="02020603050405020304" pitchFamily="18" charset="0"/>
          </a:endParaRPr>
        </a:p>
      </xdr:txBody>
    </xdr:sp>
    <xdr:clientData/>
  </xdr:twoCellAnchor>
  <xdr:twoCellAnchor>
    <xdr:from>
      <xdr:col>9</xdr:col>
      <xdr:colOff>400050</xdr:colOff>
      <xdr:row>1</xdr:row>
      <xdr:rowOff>0</xdr:rowOff>
    </xdr:from>
    <xdr:to>
      <xdr:col>11</xdr:col>
      <xdr:colOff>38100</xdr:colOff>
      <xdr:row>1</xdr:row>
      <xdr:rowOff>114300</xdr:rowOff>
    </xdr:to>
    <xdr:sp macro="" textlink="">
      <xdr:nvSpPr>
        <xdr:cNvPr id="92" name="TextBox 91">
          <a:extLst>
            <a:ext uri="{FF2B5EF4-FFF2-40B4-BE49-F238E27FC236}">
              <a16:creationId xmlns:a16="http://schemas.microsoft.com/office/drawing/2014/main" id="{08A1C8DA-ADCC-F6A3-806A-5A48C6A67A38}"/>
            </a:ext>
          </a:extLst>
        </xdr:cNvPr>
        <xdr:cNvSpPr txBox="1"/>
      </xdr:nvSpPr>
      <xdr:spPr>
        <a:xfrm>
          <a:off x="5346700" y="184150"/>
          <a:ext cx="857250"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900" b="1">
              <a:solidFill>
                <a:srgbClr val="C00000"/>
              </a:solidFill>
              <a:latin typeface="Times New Roman" panose="02020603050405020304" pitchFamily="18" charset="0"/>
              <a:cs typeface="Times New Roman" panose="02020603050405020304" pitchFamily="18" charset="0"/>
            </a:rPr>
            <a:t>Filter</a:t>
          </a:r>
          <a:r>
            <a:rPr lang="en-GB" sz="900" b="1" baseline="0">
              <a:solidFill>
                <a:srgbClr val="C00000"/>
              </a:solidFill>
              <a:latin typeface="Times New Roman" panose="02020603050405020304" pitchFamily="18" charset="0"/>
              <a:cs typeface="Times New Roman" panose="02020603050405020304" pitchFamily="18" charset="0"/>
            </a:rPr>
            <a:t> Region</a:t>
          </a:r>
          <a:endParaRPr lang="en-NG" sz="9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209550</xdr:colOff>
      <xdr:row>1</xdr:row>
      <xdr:rowOff>6350</xdr:rowOff>
    </xdr:from>
    <xdr:to>
      <xdr:col>15</xdr:col>
      <xdr:colOff>457200</xdr:colOff>
      <xdr:row>1</xdr:row>
      <xdr:rowOff>120650</xdr:rowOff>
    </xdr:to>
    <xdr:sp macro="" textlink="">
      <xdr:nvSpPr>
        <xdr:cNvPr id="93" name="TextBox 92">
          <a:extLst>
            <a:ext uri="{FF2B5EF4-FFF2-40B4-BE49-F238E27FC236}">
              <a16:creationId xmlns:a16="http://schemas.microsoft.com/office/drawing/2014/main" id="{ED64F2D2-C875-523F-DDBA-326F87CF2225}"/>
            </a:ext>
          </a:extLst>
        </xdr:cNvPr>
        <xdr:cNvSpPr txBox="1"/>
      </xdr:nvSpPr>
      <xdr:spPr>
        <a:xfrm>
          <a:off x="8204200" y="190500"/>
          <a:ext cx="857250"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900" b="1">
              <a:solidFill>
                <a:srgbClr val="C00000"/>
              </a:solidFill>
              <a:latin typeface="Times New Roman" panose="02020603050405020304" pitchFamily="18" charset="0"/>
              <a:cs typeface="Times New Roman" panose="02020603050405020304" pitchFamily="18" charset="0"/>
            </a:rPr>
            <a:t>Filter</a:t>
          </a:r>
          <a:r>
            <a:rPr lang="en-GB" sz="900" b="1" baseline="0">
              <a:solidFill>
                <a:srgbClr val="C00000"/>
              </a:solidFill>
              <a:latin typeface="Times New Roman" panose="02020603050405020304" pitchFamily="18" charset="0"/>
              <a:cs typeface="Times New Roman" panose="02020603050405020304" pitchFamily="18" charset="0"/>
            </a:rPr>
            <a:t> Year</a:t>
          </a:r>
          <a:endParaRPr lang="en-NG" sz="9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1</xdr:col>
      <xdr:colOff>460139</xdr:colOff>
      <xdr:row>22</xdr:row>
      <xdr:rowOff>0</xdr:rowOff>
    </xdr:from>
    <xdr:to>
      <xdr:col>2</xdr:col>
      <xdr:colOff>187523</xdr:colOff>
      <xdr:row>24</xdr:row>
      <xdr:rowOff>107950</xdr:rowOff>
    </xdr:to>
    <xdr:pic>
      <xdr:nvPicPr>
        <xdr:cNvPr id="94" name="Picture 93">
          <a:extLst>
            <a:ext uri="{FF2B5EF4-FFF2-40B4-BE49-F238E27FC236}">
              <a16:creationId xmlns:a16="http://schemas.microsoft.com/office/drawing/2014/main" id="{F9BCEBCC-369B-4DA4-BAE0-28CFDDF31CA4}"/>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flipH="1">
          <a:off x="529989" y="4051300"/>
          <a:ext cx="336984" cy="476250"/>
        </a:xfrm>
        <a:prstGeom prst="rect">
          <a:avLst/>
        </a:prstGeom>
      </xdr:spPr>
    </xdr:pic>
    <xdr:clientData/>
  </xdr:twoCellAnchor>
  <xdr:twoCellAnchor editAs="oneCell">
    <xdr:from>
      <xdr:col>1</xdr:col>
      <xdr:colOff>84441</xdr:colOff>
      <xdr:row>20</xdr:row>
      <xdr:rowOff>177455</xdr:rowOff>
    </xdr:from>
    <xdr:to>
      <xdr:col>1</xdr:col>
      <xdr:colOff>333031</xdr:colOff>
      <xdr:row>22</xdr:row>
      <xdr:rowOff>57745</xdr:rowOff>
    </xdr:to>
    <xdr:pic>
      <xdr:nvPicPr>
        <xdr:cNvPr id="95" name="Picture 94">
          <a:hlinkClick xmlns:r="http://schemas.openxmlformats.org/officeDocument/2006/relationships" r:id="rId31"/>
          <a:extLst>
            <a:ext uri="{FF2B5EF4-FFF2-40B4-BE49-F238E27FC236}">
              <a16:creationId xmlns:a16="http://schemas.microsoft.com/office/drawing/2014/main" id="{4BEB42AF-C7A5-43AD-A78B-8FBAD5C25329}"/>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a:xfrm>
          <a:off x="154291" y="3860455"/>
          <a:ext cx="248590" cy="248590"/>
        </a:xfrm>
        <a:prstGeom prst="rect">
          <a:avLst/>
        </a:prstGeom>
      </xdr:spPr>
    </xdr:pic>
    <xdr:clientData/>
  </xdr:twoCellAnchor>
  <xdr:twoCellAnchor editAs="oneCell">
    <xdr:from>
      <xdr:col>1</xdr:col>
      <xdr:colOff>453164</xdr:colOff>
      <xdr:row>25</xdr:row>
      <xdr:rowOff>59445</xdr:rowOff>
    </xdr:from>
    <xdr:to>
      <xdr:col>2</xdr:col>
      <xdr:colOff>158574</xdr:colOff>
      <xdr:row>27</xdr:row>
      <xdr:rowOff>6155</xdr:rowOff>
    </xdr:to>
    <xdr:pic>
      <xdr:nvPicPr>
        <xdr:cNvPr id="96" name="Picture 95">
          <a:hlinkClick xmlns:r="http://schemas.openxmlformats.org/officeDocument/2006/relationships" r:id="rId33"/>
          <a:extLst>
            <a:ext uri="{FF2B5EF4-FFF2-40B4-BE49-F238E27FC236}">
              <a16:creationId xmlns:a16="http://schemas.microsoft.com/office/drawing/2014/main" id="{0F17399D-69BC-43A1-971F-FC0E20C41D89}"/>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a:xfrm>
          <a:off x="523014" y="4663195"/>
          <a:ext cx="315010" cy="315010"/>
        </a:xfrm>
        <a:prstGeom prst="rect">
          <a:avLst/>
        </a:prstGeom>
      </xdr:spPr>
    </xdr:pic>
    <xdr:clientData/>
  </xdr:twoCellAnchor>
  <xdr:twoCellAnchor editAs="oneCell">
    <xdr:from>
      <xdr:col>2</xdr:col>
      <xdr:colOff>297758</xdr:colOff>
      <xdr:row>20</xdr:row>
      <xdr:rowOff>177455</xdr:rowOff>
    </xdr:from>
    <xdr:to>
      <xdr:col>2</xdr:col>
      <xdr:colOff>592958</xdr:colOff>
      <xdr:row>22</xdr:row>
      <xdr:rowOff>104355</xdr:rowOff>
    </xdr:to>
    <xdr:pic>
      <xdr:nvPicPr>
        <xdr:cNvPr id="97" name="Picture 96">
          <a:hlinkClick xmlns:r="http://schemas.openxmlformats.org/officeDocument/2006/relationships" r:id="rId35"/>
          <a:extLst>
            <a:ext uri="{FF2B5EF4-FFF2-40B4-BE49-F238E27FC236}">
              <a16:creationId xmlns:a16="http://schemas.microsoft.com/office/drawing/2014/main" id="{E4F8EEC2-2992-467D-BD4B-8AF0C4A07BC1}"/>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977208" y="3860455"/>
          <a:ext cx="295200" cy="2952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0.32639</cdr:x>
      <cdr:y>0.49306</cdr:y>
    </cdr:from>
    <cdr:to>
      <cdr:x>0.4875</cdr:x>
      <cdr:y>0.60648</cdr:y>
    </cdr:to>
    <cdr:sp macro="" textlink="">
      <cdr:nvSpPr>
        <cdr:cNvPr id="2" name="TextBox 1">
          <a:extLst xmlns:a="http://schemas.openxmlformats.org/drawingml/2006/main">
            <a:ext uri="{FF2B5EF4-FFF2-40B4-BE49-F238E27FC236}">
              <a16:creationId xmlns:a16="http://schemas.microsoft.com/office/drawing/2014/main" id="{ED5B9112-1E39-00FD-3940-18E1EE9F21B5}"/>
            </a:ext>
          </a:extLst>
        </cdr:cNvPr>
        <cdr:cNvSpPr txBox="1"/>
      </cdr:nvSpPr>
      <cdr:spPr>
        <a:xfrm xmlns:a="http://schemas.openxmlformats.org/drawingml/2006/main">
          <a:off x="1492250" y="1352550"/>
          <a:ext cx="736600" cy="3111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a:p>
      </cdr:txBody>
    </cdr:sp>
  </cdr:relSizeAnchor>
  <cdr:relSizeAnchor xmlns:cdr="http://schemas.openxmlformats.org/drawingml/2006/chartDrawing">
    <cdr:from>
      <cdr:x>0.24891</cdr:x>
      <cdr:y>0.34545</cdr:y>
    </cdr:from>
    <cdr:to>
      <cdr:x>0.45852</cdr:x>
      <cdr:y>1</cdr:y>
    </cdr:to>
    <cdr:sp macro="" textlink="">
      <cdr:nvSpPr>
        <cdr:cNvPr id="6" name="TextBox 5">
          <a:extLst xmlns:a="http://schemas.openxmlformats.org/drawingml/2006/main">
            <a:ext uri="{FF2B5EF4-FFF2-40B4-BE49-F238E27FC236}">
              <a16:creationId xmlns:a16="http://schemas.microsoft.com/office/drawing/2014/main" id="{EAA6ACD6-8C9D-A344-7D10-9F9F25E18A4A}"/>
            </a:ext>
          </a:extLst>
        </cdr:cNvPr>
        <cdr:cNvSpPr txBox="1"/>
      </cdr:nvSpPr>
      <cdr:spPr>
        <a:xfrm xmlns:a="http://schemas.openxmlformats.org/drawingml/2006/main">
          <a:off x="723900" y="482600"/>
          <a:ext cx="6096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NG" sz="1100"/>
        </a:p>
      </cdr:txBody>
    </cdr:sp>
  </cdr:relSizeAnchor>
  <cdr:relSizeAnchor xmlns:cdr="http://schemas.openxmlformats.org/drawingml/2006/chartDrawing">
    <cdr:from>
      <cdr:x>0.24891</cdr:x>
      <cdr:y>0.34545</cdr:y>
    </cdr:from>
    <cdr:to>
      <cdr:x>0.56332</cdr:x>
      <cdr:y>1</cdr:y>
    </cdr:to>
    <cdr:sp macro="" textlink="">
      <cdr:nvSpPr>
        <cdr:cNvPr id="7" name="TextBox 6">
          <a:extLst xmlns:a="http://schemas.openxmlformats.org/drawingml/2006/main">
            <a:ext uri="{FF2B5EF4-FFF2-40B4-BE49-F238E27FC236}">
              <a16:creationId xmlns:a16="http://schemas.microsoft.com/office/drawing/2014/main" id="{16B38EEC-74FB-CD88-810E-847EF4F0FD5E}"/>
            </a:ext>
          </a:extLst>
        </cdr:cNvPr>
        <cdr:cNvSpPr txBox="1"/>
      </cdr:nvSpPr>
      <cdr:spPr>
        <a:xfrm xmlns:a="http://schemas.openxmlformats.org/drawingml/2006/main">
          <a:off x="723900" y="7493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NG" sz="1100"/>
        </a:p>
      </cdr:txBody>
    </cdr:sp>
  </cdr:relSizeAnchor>
</c:userShapes>
</file>

<file path=xl/drawings/drawing3.xml><?xml version="1.0" encoding="utf-8"?>
<xdr:wsDr xmlns:xdr="http://schemas.openxmlformats.org/drawingml/2006/spreadsheetDrawing" xmlns:a="http://schemas.openxmlformats.org/drawingml/2006/main">
  <xdr:twoCellAnchor>
    <xdr:from>
      <xdr:col>1</xdr:col>
      <xdr:colOff>38100</xdr:colOff>
      <xdr:row>0</xdr:row>
      <xdr:rowOff>152400</xdr:rowOff>
    </xdr:from>
    <xdr:to>
      <xdr:col>18</xdr:col>
      <xdr:colOff>88900</xdr:colOff>
      <xdr:row>26</xdr:row>
      <xdr:rowOff>177800</xdr:rowOff>
    </xdr:to>
    <xdr:sp macro="" textlink="">
      <xdr:nvSpPr>
        <xdr:cNvPr id="2" name="Rectangle: Rounded Corners 1">
          <a:extLst>
            <a:ext uri="{FF2B5EF4-FFF2-40B4-BE49-F238E27FC236}">
              <a16:creationId xmlns:a16="http://schemas.microsoft.com/office/drawing/2014/main" id="{E8DB8AC6-1336-412D-A860-E630DA43E2FC}"/>
            </a:ext>
          </a:extLst>
        </xdr:cNvPr>
        <xdr:cNvSpPr>
          <a:spLocks noChangeAspect="1"/>
        </xdr:cNvSpPr>
      </xdr:nvSpPr>
      <xdr:spPr>
        <a:xfrm>
          <a:off x="107950" y="152400"/>
          <a:ext cx="10414000" cy="4813300"/>
        </a:xfrm>
        <a:prstGeom prst="roundRect">
          <a:avLst>
            <a:gd name="adj" fmla="val 3953"/>
          </a:avLst>
        </a:prstGeom>
        <a:solidFill>
          <a:schemeClr val="tx2">
            <a:lumMod val="10000"/>
            <a:lumOff val="90000"/>
            <a:alpha val="69000"/>
          </a:schemeClr>
        </a:solidFill>
        <a:ln w="19050" cap="flat">
          <a:noFill/>
          <a:miter lim="800000"/>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lvl="0" indent="0" algn="l"/>
          <a:r>
            <a:rPr lang="en-GB" sz="1400">
              <a:solidFill>
                <a:srgbClr val="C43908"/>
              </a:solidFill>
              <a:latin typeface="Arial Black" panose="020B0A04020102020204" pitchFamily="34" charset="0"/>
              <a:ea typeface="+mn-ea"/>
              <a:cs typeface="Times New Roman" panose="02020603050405020304" pitchFamily="18" charset="0"/>
            </a:rPr>
            <a:t>BAYAN STORE SALES ANALYSIS </a:t>
          </a:r>
          <a:endParaRPr lang="en-NG" sz="1400">
            <a:solidFill>
              <a:srgbClr val="C43908"/>
            </a:solidFill>
            <a:latin typeface="Arial Black" panose="020B0A04020102020204" pitchFamily="34" charset="0"/>
            <a:ea typeface="+mn-ea"/>
            <a:cs typeface="Times New Roman" panose="02020603050405020304" pitchFamily="18" charset="0"/>
          </a:endParaRPr>
        </a:p>
      </xdr:txBody>
    </xdr:sp>
    <xdr:clientData/>
  </xdr:twoCellAnchor>
  <xdr:twoCellAnchor>
    <xdr:from>
      <xdr:col>6</xdr:col>
      <xdr:colOff>298640</xdr:colOff>
      <xdr:row>1</xdr:row>
      <xdr:rowOff>114300</xdr:rowOff>
    </xdr:from>
    <xdr:to>
      <xdr:col>7</xdr:col>
      <xdr:colOff>424287</xdr:colOff>
      <xdr:row>3</xdr:row>
      <xdr:rowOff>6350</xdr:rowOff>
    </xdr:to>
    <xdr:sp macro="" textlink="">
      <xdr:nvSpPr>
        <xdr:cNvPr id="3" name="TextBox 2">
          <a:hlinkClick xmlns:r="http://schemas.openxmlformats.org/officeDocument/2006/relationships" r:id="rId1"/>
          <a:extLst>
            <a:ext uri="{FF2B5EF4-FFF2-40B4-BE49-F238E27FC236}">
              <a16:creationId xmlns:a16="http://schemas.microsoft.com/office/drawing/2014/main" id="{3F038968-FA5B-4D29-BB6C-545296AD2802}"/>
            </a:ext>
          </a:extLst>
        </xdr:cNvPr>
        <xdr:cNvSpPr txBox="1"/>
      </xdr:nvSpPr>
      <xdr:spPr>
        <a:xfrm>
          <a:off x="3416490" y="298450"/>
          <a:ext cx="735247" cy="260350"/>
        </a:xfrm>
        <a:prstGeom prst="rect">
          <a:avLst/>
        </a:prstGeom>
        <a:solidFill>
          <a:schemeClr val="tx2">
            <a:lumMod val="50000"/>
            <a:lumOff val="5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solidFill>
                <a:srgbClr val="FF0000"/>
              </a:solidFill>
            </a:rPr>
            <a:t>Overview</a:t>
          </a:r>
          <a:endParaRPr lang="en-NG" sz="1000" b="1">
            <a:solidFill>
              <a:srgbClr val="FF0000"/>
            </a:solidFill>
          </a:endParaRPr>
        </a:p>
      </xdr:txBody>
    </xdr:sp>
    <xdr:clientData/>
  </xdr:twoCellAnchor>
  <xdr:twoCellAnchor>
    <xdr:from>
      <xdr:col>7</xdr:col>
      <xdr:colOff>335550</xdr:colOff>
      <xdr:row>1</xdr:row>
      <xdr:rowOff>107950</xdr:rowOff>
    </xdr:from>
    <xdr:to>
      <xdr:col>9</xdr:col>
      <xdr:colOff>29070</xdr:colOff>
      <xdr:row>3</xdr:row>
      <xdr:rowOff>0</xdr:rowOff>
    </xdr:to>
    <xdr:sp macro="" textlink="">
      <xdr:nvSpPr>
        <xdr:cNvPr id="4" name="TextBox 3">
          <a:hlinkClick xmlns:r="http://schemas.openxmlformats.org/officeDocument/2006/relationships" r:id="rId2"/>
          <a:extLst>
            <a:ext uri="{FF2B5EF4-FFF2-40B4-BE49-F238E27FC236}">
              <a16:creationId xmlns:a16="http://schemas.microsoft.com/office/drawing/2014/main" id="{EEACF005-B26A-41D4-A941-B3EA33594032}"/>
            </a:ext>
          </a:extLst>
        </xdr:cNvPr>
        <xdr:cNvSpPr txBox="1"/>
      </xdr:nvSpPr>
      <xdr:spPr>
        <a:xfrm>
          <a:off x="4063000" y="292100"/>
          <a:ext cx="912720" cy="260350"/>
        </a:xfrm>
        <a:prstGeom prst="rect">
          <a:avLst/>
        </a:prstGeom>
        <a:solidFill>
          <a:schemeClr val="tx2">
            <a:lumMod val="50000"/>
            <a:lumOff val="50000"/>
          </a:schemeClr>
        </a:solidFill>
        <a:ln w="9525" cmpd="sng">
          <a:noFill/>
        </a:ln>
        <a:effectLst>
          <a:softEdge rad="635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1">
              <a:solidFill>
                <a:srgbClr val="FF0000"/>
              </a:solidFill>
            </a:rPr>
            <a:t>Performance</a:t>
          </a:r>
          <a:endParaRPr lang="en-NG" sz="1000" b="1">
            <a:solidFill>
              <a:srgbClr val="FF0000"/>
            </a:solidFill>
          </a:endParaRPr>
        </a:p>
      </xdr:txBody>
    </xdr:sp>
    <xdr:clientData/>
  </xdr:twoCellAnchor>
  <xdr:twoCellAnchor>
    <xdr:from>
      <xdr:col>6</xdr:col>
      <xdr:colOff>0</xdr:colOff>
      <xdr:row>3</xdr:row>
      <xdr:rowOff>114300</xdr:rowOff>
    </xdr:from>
    <xdr:to>
      <xdr:col>12</xdr:col>
      <xdr:colOff>488950</xdr:colOff>
      <xdr:row>12</xdr:row>
      <xdr:rowOff>101000</xdr:rowOff>
    </xdr:to>
    <xdr:sp macro="" textlink="">
      <xdr:nvSpPr>
        <xdr:cNvPr id="10" name="Rectangle: Rounded Corners 9">
          <a:extLst>
            <a:ext uri="{FF2B5EF4-FFF2-40B4-BE49-F238E27FC236}">
              <a16:creationId xmlns:a16="http://schemas.microsoft.com/office/drawing/2014/main" id="{0C874510-91CD-4824-9CB8-0EE809D0E3CC}"/>
            </a:ext>
          </a:extLst>
        </xdr:cNvPr>
        <xdr:cNvSpPr>
          <a:spLocks noChangeAspect="1"/>
        </xdr:cNvSpPr>
      </xdr:nvSpPr>
      <xdr:spPr>
        <a:xfrm>
          <a:off x="3117850" y="666750"/>
          <a:ext cx="4146550" cy="1644050"/>
        </a:xfrm>
        <a:prstGeom prst="roundRect">
          <a:avLst>
            <a:gd name="adj" fmla="val 7020"/>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NG" sz="1100"/>
        </a:p>
      </xdr:txBody>
    </xdr:sp>
    <xdr:clientData/>
  </xdr:twoCellAnchor>
  <xdr:twoCellAnchor>
    <xdr:from>
      <xdr:col>1</xdr:col>
      <xdr:colOff>38100</xdr:colOff>
      <xdr:row>3</xdr:row>
      <xdr:rowOff>12700</xdr:rowOff>
    </xdr:from>
    <xdr:to>
      <xdr:col>5</xdr:col>
      <xdr:colOff>546276</xdr:colOff>
      <xdr:row>26</xdr:row>
      <xdr:rowOff>177800</xdr:rowOff>
    </xdr:to>
    <xdr:sp macro="" textlink="">
      <xdr:nvSpPr>
        <xdr:cNvPr id="12" name="Rectangle: Rounded Corners 11">
          <a:extLst>
            <a:ext uri="{FF2B5EF4-FFF2-40B4-BE49-F238E27FC236}">
              <a16:creationId xmlns:a16="http://schemas.microsoft.com/office/drawing/2014/main" id="{6194FB87-3A5A-44D0-ABC1-DE2A9072B26D}"/>
            </a:ext>
          </a:extLst>
        </xdr:cNvPr>
        <xdr:cNvSpPr>
          <a:spLocks noChangeAspect="1"/>
        </xdr:cNvSpPr>
      </xdr:nvSpPr>
      <xdr:spPr>
        <a:xfrm>
          <a:off x="107950" y="565150"/>
          <a:ext cx="2946576" cy="4400550"/>
        </a:xfrm>
        <a:prstGeom prst="roundRect">
          <a:avLst>
            <a:gd name="adj" fmla="val 5904"/>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12</xdr:col>
      <xdr:colOff>495300</xdr:colOff>
      <xdr:row>14</xdr:row>
      <xdr:rowOff>79375</xdr:rowOff>
    </xdr:from>
    <xdr:to>
      <xdr:col>17</xdr:col>
      <xdr:colOff>546100</xdr:colOff>
      <xdr:row>26</xdr:row>
      <xdr:rowOff>180975</xdr:rowOff>
    </xdr:to>
    <xdr:graphicFrame macro="">
      <xdr:nvGraphicFramePr>
        <xdr:cNvPr id="31" name="lowest Profit" hidden="1">
          <a:extLst>
            <a:ext uri="{FF2B5EF4-FFF2-40B4-BE49-F238E27FC236}">
              <a16:creationId xmlns:a16="http://schemas.microsoft.com/office/drawing/2014/main" id="{56227F2B-08D3-46C1-AB64-3DF122A7CC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6350</xdr:colOff>
      <xdr:row>12</xdr:row>
      <xdr:rowOff>133350</xdr:rowOff>
    </xdr:from>
    <xdr:to>
      <xdr:col>12</xdr:col>
      <xdr:colOff>520700</xdr:colOff>
      <xdr:row>26</xdr:row>
      <xdr:rowOff>171450</xdr:rowOff>
    </xdr:to>
    <xdr:sp macro="" textlink="">
      <xdr:nvSpPr>
        <xdr:cNvPr id="6" name="Rectangle: Rounded Corners 5">
          <a:extLst>
            <a:ext uri="{FF2B5EF4-FFF2-40B4-BE49-F238E27FC236}">
              <a16:creationId xmlns:a16="http://schemas.microsoft.com/office/drawing/2014/main" id="{2E715B86-4C63-40C1-B21E-9B807F62AB26}"/>
            </a:ext>
          </a:extLst>
        </xdr:cNvPr>
        <xdr:cNvSpPr>
          <a:spLocks noChangeAspect="1"/>
        </xdr:cNvSpPr>
      </xdr:nvSpPr>
      <xdr:spPr>
        <a:xfrm>
          <a:off x="3124200" y="2343150"/>
          <a:ext cx="4171950" cy="2616200"/>
        </a:xfrm>
        <a:prstGeom prst="roundRect">
          <a:avLst>
            <a:gd name="adj" fmla="val 7020"/>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21845</xdr:colOff>
      <xdr:row>14</xdr:row>
      <xdr:rowOff>51286</xdr:rowOff>
    </xdr:from>
    <xdr:to>
      <xdr:col>12</xdr:col>
      <xdr:colOff>477971</xdr:colOff>
      <xdr:row>15</xdr:row>
      <xdr:rowOff>164822</xdr:rowOff>
    </xdr:to>
    <mc:AlternateContent xmlns:mc="http://schemas.openxmlformats.org/markup-compatibility/2006" xmlns:a14="http://schemas.microsoft.com/office/drawing/2010/main">
      <mc:Choice Requires="a14">
        <xdr:graphicFrame macro="">
          <xdr:nvGraphicFramePr>
            <xdr:cNvPr id="9" name="View">
              <a:extLst>
                <a:ext uri="{FF2B5EF4-FFF2-40B4-BE49-F238E27FC236}">
                  <a16:creationId xmlns:a16="http://schemas.microsoft.com/office/drawing/2014/main" id="{16D1C076-CC57-4297-A271-B48B822A5498}"/>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View"/>
            </a:graphicData>
          </a:graphic>
        </xdr:graphicFrame>
      </mc:Choice>
      <mc:Fallback xmlns="">
        <xdr:sp macro="" textlink="">
          <xdr:nvSpPr>
            <xdr:cNvPr id="0" name=""/>
            <xdr:cNvSpPr>
              <a:spLocks noTextEdit="1"/>
            </xdr:cNvSpPr>
          </xdr:nvSpPr>
          <xdr:spPr>
            <a:xfrm>
              <a:off x="3129292" y="2604797"/>
              <a:ext cx="4103998" cy="29592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7</xdr:col>
      <xdr:colOff>549983</xdr:colOff>
      <xdr:row>12</xdr:row>
      <xdr:rowOff>179148</xdr:rowOff>
    </xdr:from>
    <xdr:to>
      <xdr:col>11</xdr:col>
      <xdr:colOff>21035</xdr:colOff>
      <xdr:row>13</xdr:row>
      <xdr:rowOff>172465</xdr:rowOff>
    </xdr:to>
    <xdr:sp macro="" textlink="">
      <xdr:nvSpPr>
        <xdr:cNvPr id="20" name="TextBox 19">
          <a:extLst>
            <a:ext uri="{FF2B5EF4-FFF2-40B4-BE49-F238E27FC236}">
              <a16:creationId xmlns:a16="http://schemas.microsoft.com/office/drawing/2014/main" id="{DFDB97A6-18FC-838C-4512-FFE04E6E590A}"/>
            </a:ext>
          </a:extLst>
        </xdr:cNvPr>
        <xdr:cNvSpPr txBox="1">
          <a:spLocks noChangeAspect="1"/>
        </xdr:cNvSpPr>
      </xdr:nvSpPr>
      <xdr:spPr>
        <a:xfrm>
          <a:off x="4277433" y="2388948"/>
          <a:ext cx="1909452" cy="177467"/>
        </a:xfrm>
        <a:prstGeom prst="rect">
          <a:avLst/>
        </a:prstGeom>
        <a:noFill/>
        <a:ln w="9525" cmpd="sng">
          <a:noFill/>
        </a:ln>
        <a:effectLst>
          <a:outerShdw blurRad="50800" dist="50800" dir="5400000" sx="2000" sy="2000" algn="ctr" rotWithShape="0">
            <a:srgbClr val="FFFF00">
              <a:alpha val="9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rgbClr val="C00000"/>
              </a:solidFill>
              <a:latin typeface="+mn-lt"/>
              <a:cs typeface="Times New Roman" panose="02020603050405020304" pitchFamily="18" charset="0"/>
            </a:rPr>
            <a:t>Rating by Cities </a:t>
          </a:r>
          <a:endParaRPr lang="en-NG" sz="1200" b="1">
            <a:solidFill>
              <a:srgbClr val="C00000"/>
            </a:solidFill>
            <a:latin typeface="+mn-lt"/>
            <a:cs typeface="Times New Roman" panose="02020603050405020304" pitchFamily="18" charset="0"/>
          </a:endParaRPr>
        </a:p>
      </xdr:txBody>
    </xdr:sp>
    <xdr:clientData/>
  </xdr:twoCellAnchor>
  <xdr:twoCellAnchor editAs="oneCell">
    <xdr:from>
      <xdr:col>9</xdr:col>
      <xdr:colOff>67504</xdr:colOff>
      <xdr:row>1</xdr:row>
      <xdr:rowOff>127000</xdr:rowOff>
    </xdr:from>
    <xdr:to>
      <xdr:col>15</xdr:col>
      <xdr:colOff>123080</xdr:colOff>
      <xdr:row>3</xdr:row>
      <xdr:rowOff>76200</xdr:rowOff>
    </xdr:to>
    <mc:AlternateContent xmlns:mc="http://schemas.openxmlformats.org/markup-compatibility/2006" xmlns:a14="http://schemas.microsoft.com/office/drawing/2010/main">
      <mc:Choice Requires="a14">
        <xdr:graphicFrame macro="">
          <xdr:nvGraphicFramePr>
            <xdr:cNvPr id="22" name="Person">
              <a:extLst>
                <a:ext uri="{FF2B5EF4-FFF2-40B4-BE49-F238E27FC236}">
                  <a16:creationId xmlns:a16="http://schemas.microsoft.com/office/drawing/2014/main" id="{12F11ED4-1459-4BDF-8E43-76E3167EEE46}"/>
                </a:ext>
              </a:extLst>
            </xdr:cNvPr>
            <xdr:cNvGraphicFramePr/>
          </xdr:nvGraphicFramePr>
          <xdr:xfrm>
            <a:off x="0" y="0"/>
            <a:ext cx="0" cy="0"/>
          </xdr:xfrm>
          <a:graphic>
            <a:graphicData uri="http://schemas.microsoft.com/office/drawing/2010/slicer">
              <sle:slicer xmlns:sle="http://schemas.microsoft.com/office/drawing/2010/slicer" name="Person"/>
            </a:graphicData>
          </a:graphic>
        </xdr:graphicFrame>
      </mc:Choice>
      <mc:Fallback xmlns="">
        <xdr:sp macro="" textlink="">
          <xdr:nvSpPr>
            <xdr:cNvPr id="0" name=""/>
            <xdr:cNvSpPr>
              <a:spLocks noTextEdit="1"/>
            </xdr:cNvSpPr>
          </xdr:nvSpPr>
          <xdr:spPr>
            <a:xfrm>
              <a:off x="4998887" y="309394"/>
              <a:ext cx="3703448" cy="31398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15</xdr:col>
      <xdr:colOff>43600</xdr:colOff>
      <xdr:row>1</xdr:row>
      <xdr:rowOff>126891</xdr:rowOff>
    </xdr:from>
    <xdr:to>
      <xdr:col>18</xdr:col>
      <xdr:colOff>50800</xdr:colOff>
      <xdr:row>3</xdr:row>
      <xdr:rowOff>70717</xdr:rowOff>
    </xdr:to>
    <mc:AlternateContent xmlns:mc="http://schemas.openxmlformats.org/markup-compatibility/2006" xmlns:a14="http://schemas.microsoft.com/office/drawing/2010/main">
      <mc:Choice Requires="a14">
        <xdr:graphicFrame macro="">
          <xdr:nvGraphicFramePr>
            <xdr:cNvPr id="26" name="Year">
              <a:extLst>
                <a:ext uri="{FF2B5EF4-FFF2-40B4-BE49-F238E27FC236}">
                  <a16:creationId xmlns:a16="http://schemas.microsoft.com/office/drawing/2014/main" id="{0DC7B179-62B5-4574-A19A-7F139AAB3AFF}"/>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622855" y="309285"/>
              <a:ext cx="1831136" cy="30861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12</xdr:col>
      <xdr:colOff>544770</xdr:colOff>
      <xdr:row>3</xdr:row>
      <xdr:rowOff>119028</xdr:rowOff>
    </xdr:from>
    <xdr:to>
      <xdr:col>18</xdr:col>
      <xdr:colOff>49584</xdr:colOff>
      <xdr:row>13</xdr:row>
      <xdr:rowOff>93627</xdr:rowOff>
    </xdr:to>
    <xdr:grpSp>
      <xdr:nvGrpSpPr>
        <xdr:cNvPr id="93" name="Group 92">
          <a:extLst>
            <a:ext uri="{FF2B5EF4-FFF2-40B4-BE49-F238E27FC236}">
              <a16:creationId xmlns:a16="http://schemas.microsoft.com/office/drawing/2014/main" id="{ACFB10D3-6D78-5EF9-9077-0C17E5AFA896}"/>
            </a:ext>
          </a:extLst>
        </xdr:cNvPr>
        <xdr:cNvGrpSpPr>
          <a:grpSpLocks noChangeAspect="1"/>
        </xdr:cNvGrpSpPr>
      </xdr:nvGrpSpPr>
      <xdr:grpSpPr>
        <a:xfrm>
          <a:off x="7300089" y="666209"/>
          <a:ext cx="3152686" cy="1798535"/>
          <a:chOff x="5155351" y="3179545"/>
          <a:chExt cx="2946576" cy="1983004"/>
        </a:xfrm>
      </xdr:grpSpPr>
      <xdr:sp macro="" textlink="">
        <xdr:nvSpPr>
          <xdr:cNvPr id="11" name="Rectangle: Rounded Corners 10">
            <a:extLst>
              <a:ext uri="{FF2B5EF4-FFF2-40B4-BE49-F238E27FC236}">
                <a16:creationId xmlns:a16="http://schemas.microsoft.com/office/drawing/2014/main" id="{F280CE67-5AF7-45D3-88BF-A2F9B95C01DF}"/>
              </a:ext>
            </a:extLst>
          </xdr:cNvPr>
          <xdr:cNvSpPr/>
        </xdr:nvSpPr>
        <xdr:spPr>
          <a:xfrm>
            <a:off x="5155351" y="3179545"/>
            <a:ext cx="2946576" cy="1938555"/>
          </a:xfrm>
          <a:prstGeom prst="roundRect">
            <a:avLst>
              <a:gd name="adj" fmla="val 2980"/>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33" name="Chart 32">
            <a:extLst>
              <a:ext uri="{FF2B5EF4-FFF2-40B4-BE49-F238E27FC236}">
                <a16:creationId xmlns:a16="http://schemas.microsoft.com/office/drawing/2014/main" id="{5DF1FF72-F2D0-48A8-A0C7-8918819AD76E}"/>
              </a:ext>
            </a:extLst>
          </xdr:cNvPr>
          <xdr:cNvGraphicFramePr>
            <a:graphicFrameLocks noChangeAspect="1"/>
          </xdr:cNvGraphicFramePr>
        </xdr:nvGraphicFramePr>
        <xdr:xfrm>
          <a:off x="5159473" y="3206749"/>
          <a:ext cx="2924076" cy="19558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38" name="TextBox 37">
            <a:extLst>
              <a:ext uri="{FF2B5EF4-FFF2-40B4-BE49-F238E27FC236}">
                <a16:creationId xmlns:a16="http://schemas.microsoft.com/office/drawing/2014/main" id="{52BDCB40-5ECA-AB78-485D-AA5E9F0B8CFA}"/>
              </a:ext>
            </a:extLst>
          </xdr:cNvPr>
          <xdr:cNvSpPr txBox="1"/>
        </xdr:nvSpPr>
        <xdr:spPr>
          <a:xfrm>
            <a:off x="6239449" y="4273550"/>
            <a:ext cx="1057714" cy="112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1">
                <a:solidFill>
                  <a:srgbClr val="C00000"/>
                </a:solidFill>
              </a:rPr>
              <a:t>Profitability Rate</a:t>
            </a:r>
            <a:endParaRPr lang="en-NG" sz="1050" b="1">
              <a:solidFill>
                <a:srgbClr val="C00000"/>
              </a:solidFill>
            </a:endParaRPr>
          </a:p>
        </xdr:txBody>
      </xdr:sp>
      <xdr:grpSp>
        <xdr:nvGrpSpPr>
          <xdr:cNvPr id="74" name="Group 73">
            <a:extLst>
              <a:ext uri="{FF2B5EF4-FFF2-40B4-BE49-F238E27FC236}">
                <a16:creationId xmlns:a16="http://schemas.microsoft.com/office/drawing/2014/main" id="{6A3F359B-1F55-040E-EA06-11479A317DBA}"/>
              </a:ext>
            </a:extLst>
          </xdr:cNvPr>
          <xdr:cNvGrpSpPr/>
        </xdr:nvGrpSpPr>
        <xdr:grpSpPr>
          <a:xfrm>
            <a:off x="5219665" y="4435548"/>
            <a:ext cx="1346235" cy="269802"/>
            <a:chOff x="4439130" y="2155898"/>
            <a:chExt cx="1275870" cy="434902"/>
          </a:xfrm>
        </xdr:grpSpPr>
        <xdr:sp macro="" textlink="">
          <xdr:nvSpPr>
            <xdr:cNvPr id="18" name="Rectangle: Rounded Corners 17">
              <a:extLst>
                <a:ext uri="{FF2B5EF4-FFF2-40B4-BE49-F238E27FC236}">
                  <a16:creationId xmlns:a16="http://schemas.microsoft.com/office/drawing/2014/main" id="{3BF5BE11-3136-46BD-A301-96EBDE5FB38F}"/>
                </a:ext>
              </a:extLst>
            </xdr:cNvPr>
            <xdr:cNvSpPr/>
          </xdr:nvSpPr>
          <xdr:spPr>
            <a:xfrm>
              <a:off x="4439130" y="2155898"/>
              <a:ext cx="1275870" cy="434902"/>
            </a:xfrm>
            <a:prstGeom prst="roundRect">
              <a:avLst>
                <a:gd name="adj" fmla="val 13542"/>
              </a:avLst>
            </a:prstGeom>
            <a:gradFill>
              <a:gsLst>
                <a:gs pos="46000">
                  <a:schemeClr val="accent6">
                    <a:lumMod val="20000"/>
                    <a:lumOff val="80000"/>
                  </a:schemeClr>
                </a:gs>
                <a:gs pos="86000">
                  <a:schemeClr val="accent6">
                    <a:lumMod val="60000"/>
                    <a:lumOff val="40000"/>
                  </a:schemeClr>
                </a:gs>
              </a:gsLst>
              <a:lin ang="5400000" scaled="1"/>
            </a:gra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sp macro="" textlink="Pivot_Tables_Performance!F38">
          <xdr:nvSpPr>
            <xdr:cNvPr id="42" name="TextBox 41">
              <a:extLst>
                <a:ext uri="{FF2B5EF4-FFF2-40B4-BE49-F238E27FC236}">
                  <a16:creationId xmlns:a16="http://schemas.microsoft.com/office/drawing/2014/main" id="{1514F6AA-7AEC-F7F1-15D3-06C976AD62F4}"/>
                </a:ext>
              </a:extLst>
            </xdr:cNvPr>
            <xdr:cNvSpPr txBox="1"/>
          </xdr:nvSpPr>
          <xdr:spPr>
            <a:xfrm>
              <a:off x="4743450" y="2190750"/>
              <a:ext cx="9398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AF7DA4-4B4B-4C80-AAA9-351BC0F90445}" type="TxLink">
                <a:rPr lang="en-US" sz="1100" b="1" i="0" u="none" strike="noStrike">
                  <a:solidFill>
                    <a:srgbClr val="FF0000"/>
                  </a:solidFill>
                  <a:latin typeface="Aptos Narrow"/>
                </a:rPr>
                <a:pPr algn="ctr"/>
                <a:t>Profit</a:t>
              </a:fld>
              <a:endParaRPr lang="en-NG" sz="1100" b="1">
                <a:solidFill>
                  <a:srgbClr val="FF0000"/>
                </a:solidFill>
              </a:endParaRPr>
            </a:p>
          </xdr:txBody>
        </xdr:sp>
        <xdr:sp macro="" textlink="Pivot_Tables_Performance!G38">
          <xdr:nvSpPr>
            <xdr:cNvPr id="44" name="TextBox 43">
              <a:extLst>
                <a:ext uri="{FF2B5EF4-FFF2-40B4-BE49-F238E27FC236}">
                  <a16:creationId xmlns:a16="http://schemas.microsoft.com/office/drawing/2014/main" id="{64468253-3926-F1CE-E3B3-109CFBD765CA}"/>
                </a:ext>
              </a:extLst>
            </xdr:cNvPr>
            <xdr:cNvSpPr txBox="1"/>
          </xdr:nvSpPr>
          <xdr:spPr>
            <a:xfrm>
              <a:off x="4743450" y="2387600"/>
              <a:ext cx="9398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EF112A-B649-4909-85C3-677D14144491}" type="TxLink">
                <a:rPr lang="en-US" sz="1100" b="1" i="0" u="none" strike="noStrike">
                  <a:solidFill>
                    <a:srgbClr val="8F112F"/>
                  </a:solidFill>
                  <a:latin typeface="Aptos Narrow"/>
                </a:rPr>
                <a:pPr algn="ctr"/>
                <a:t>$79,387</a:t>
              </a:fld>
              <a:endParaRPr lang="en-NG" sz="1100" b="1">
                <a:solidFill>
                  <a:srgbClr val="8F112F"/>
                </a:solidFill>
              </a:endParaRPr>
            </a:p>
          </xdr:txBody>
        </xdr:sp>
      </xdr:grpSp>
      <xdr:grpSp>
        <xdr:nvGrpSpPr>
          <xdr:cNvPr id="75" name="Group 74">
            <a:extLst>
              <a:ext uri="{FF2B5EF4-FFF2-40B4-BE49-F238E27FC236}">
                <a16:creationId xmlns:a16="http://schemas.microsoft.com/office/drawing/2014/main" id="{3E5B6F86-9116-F0E2-23BD-3E3C2C74C7DB}"/>
              </a:ext>
            </a:extLst>
          </xdr:cNvPr>
          <xdr:cNvGrpSpPr/>
        </xdr:nvGrpSpPr>
        <xdr:grpSpPr>
          <a:xfrm>
            <a:off x="5219665" y="4797498"/>
            <a:ext cx="1346235" cy="269802"/>
            <a:chOff x="4432815" y="2619448"/>
            <a:chExt cx="1275870" cy="434902"/>
          </a:xfrm>
        </xdr:grpSpPr>
        <xdr:sp macro="" textlink="">
          <xdr:nvSpPr>
            <xdr:cNvPr id="29" name="Rectangle: Rounded Corners 28">
              <a:extLst>
                <a:ext uri="{FF2B5EF4-FFF2-40B4-BE49-F238E27FC236}">
                  <a16:creationId xmlns:a16="http://schemas.microsoft.com/office/drawing/2014/main" id="{824DBE0E-DD98-CDC0-A87C-1115049FFEF7}"/>
                </a:ext>
              </a:extLst>
            </xdr:cNvPr>
            <xdr:cNvSpPr/>
          </xdr:nvSpPr>
          <xdr:spPr>
            <a:xfrm>
              <a:off x="4432815" y="2619448"/>
              <a:ext cx="1275870" cy="434902"/>
            </a:xfrm>
            <a:prstGeom prst="roundRect">
              <a:avLst>
                <a:gd name="adj" fmla="val 13542"/>
              </a:avLst>
            </a:prstGeom>
            <a:gradFill>
              <a:gsLst>
                <a:gs pos="31000">
                  <a:schemeClr val="accent6">
                    <a:lumMod val="50000"/>
                  </a:schemeClr>
                </a:gs>
                <a:gs pos="54000">
                  <a:schemeClr val="accent2">
                    <a:lumMod val="40000"/>
                    <a:lumOff val="60000"/>
                    <a:alpha val="50000"/>
                  </a:schemeClr>
                </a:gs>
              </a:gsLst>
              <a:lin ang="7200000" scaled="0"/>
            </a:gra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sp macro="" textlink="Pivot_Tables_Performance!F36">
          <xdr:nvSpPr>
            <xdr:cNvPr id="41" name="TextBox 40">
              <a:extLst>
                <a:ext uri="{FF2B5EF4-FFF2-40B4-BE49-F238E27FC236}">
                  <a16:creationId xmlns:a16="http://schemas.microsoft.com/office/drawing/2014/main" id="{D26791CD-6658-39B5-DBF8-E7FDEFE62C20}"/>
                </a:ext>
              </a:extLst>
            </xdr:cNvPr>
            <xdr:cNvSpPr txBox="1"/>
          </xdr:nvSpPr>
          <xdr:spPr>
            <a:xfrm>
              <a:off x="4749800" y="2628900"/>
              <a:ext cx="9398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0861D0-8897-419F-9A91-616A38EFE145}" type="TxLink">
                <a:rPr lang="en-US" sz="1100" b="1" i="0" u="none" strike="noStrike">
                  <a:solidFill>
                    <a:srgbClr val="FF0000"/>
                  </a:solidFill>
                  <a:latin typeface="Aptos Narrow"/>
                </a:rPr>
                <a:pPr algn="ctr"/>
                <a:t>#Customers</a:t>
              </a:fld>
              <a:endParaRPr lang="en-NG" sz="1100" b="1">
                <a:solidFill>
                  <a:srgbClr val="FF0000"/>
                </a:solidFill>
              </a:endParaRPr>
            </a:p>
          </xdr:txBody>
        </xdr:sp>
        <xdr:sp macro="" textlink="Pivot_Tables_Performance!G36">
          <xdr:nvSpPr>
            <xdr:cNvPr id="45" name="TextBox 44">
              <a:extLst>
                <a:ext uri="{FF2B5EF4-FFF2-40B4-BE49-F238E27FC236}">
                  <a16:creationId xmlns:a16="http://schemas.microsoft.com/office/drawing/2014/main" id="{C9AE6C1F-D54C-EBD7-230E-21AD59314E87}"/>
                </a:ext>
              </a:extLst>
            </xdr:cNvPr>
            <xdr:cNvSpPr txBox="1"/>
          </xdr:nvSpPr>
          <xdr:spPr>
            <a:xfrm>
              <a:off x="4749800" y="2844800"/>
              <a:ext cx="9398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0B04B5-176B-4087-9214-14BE4DA6CBEB}" type="TxLink">
                <a:rPr lang="en-US" sz="1100" b="1" i="0" u="none" strike="noStrike">
                  <a:solidFill>
                    <a:srgbClr val="8F112F"/>
                  </a:solidFill>
                  <a:latin typeface="Aptos Narrow"/>
                </a:rPr>
                <a:pPr algn="ctr"/>
                <a:t>707</a:t>
              </a:fld>
              <a:endParaRPr lang="en-NG" sz="1100" b="1">
                <a:solidFill>
                  <a:srgbClr val="8F112F"/>
                </a:solidFill>
              </a:endParaRPr>
            </a:p>
          </xdr:txBody>
        </xdr:sp>
      </xdr:grpSp>
      <xdr:grpSp>
        <xdr:nvGrpSpPr>
          <xdr:cNvPr id="72" name="Group 71">
            <a:extLst>
              <a:ext uri="{FF2B5EF4-FFF2-40B4-BE49-F238E27FC236}">
                <a16:creationId xmlns:a16="http://schemas.microsoft.com/office/drawing/2014/main" id="{C440C0AB-2CE9-8DE9-959E-D63FBE854A4A}"/>
              </a:ext>
            </a:extLst>
          </xdr:cNvPr>
          <xdr:cNvGrpSpPr/>
        </xdr:nvGrpSpPr>
        <xdr:grpSpPr>
          <a:xfrm>
            <a:off x="6724650" y="4435548"/>
            <a:ext cx="1346235" cy="269802"/>
            <a:chOff x="5855180" y="2168598"/>
            <a:chExt cx="1275870" cy="434902"/>
          </a:xfrm>
        </xdr:grpSpPr>
        <xdr:sp macro="" textlink="">
          <xdr:nvSpPr>
            <xdr:cNvPr id="36" name="Rectangle: Rounded Corners 35">
              <a:extLst>
                <a:ext uri="{FF2B5EF4-FFF2-40B4-BE49-F238E27FC236}">
                  <a16:creationId xmlns:a16="http://schemas.microsoft.com/office/drawing/2014/main" id="{84110966-4F47-FC68-CFF0-E7CC039232C6}"/>
                </a:ext>
              </a:extLst>
            </xdr:cNvPr>
            <xdr:cNvSpPr/>
          </xdr:nvSpPr>
          <xdr:spPr>
            <a:xfrm>
              <a:off x="5855180" y="2168598"/>
              <a:ext cx="1275870" cy="434902"/>
            </a:xfrm>
            <a:prstGeom prst="roundRect">
              <a:avLst>
                <a:gd name="adj" fmla="val 13542"/>
              </a:avLst>
            </a:prstGeom>
            <a:gradFill>
              <a:gsLst>
                <a:gs pos="12000">
                  <a:schemeClr val="accent6"/>
                </a:gs>
                <a:gs pos="56000">
                  <a:schemeClr val="accent6">
                    <a:lumMod val="20000"/>
                    <a:lumOff val="80000"/>
                  </a:schemeClr>
                </a:gs>
              </a:gsLst>
              <a:lin ang="5400000" scaled="1"/>
            </a:gra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sp macro="" textlink="Pivot_Tables_Performance!F34">
          <xdr:nvSpPr>
            <xdr:cNvPr id="39" name="TextBox 38">
              <a:extLst>
                <a:ext uri="{FF2B5EF4-FFF2-40B4-BE49-F238E27FC236}">
                  <a16:creationId xmlns:a16="http://schemas.microsoft.com/office/drawing/2014/main" id="{C0C46E15-5946-AD85-9315-D1BDEB11D697}"/>
                </a:ext>
              </a:extLst>
            </xdr:cNvPr>
            <xdr:cNvSpPr txBox="1"/>
          </xdr:nvSpPr>
          <xdr:spPr>
            <a:xfrm>
              <a:off x="6146800" y="2190750"/>
              <a:ext cx="9398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6A69EE-9B6E-45CE-B046-457F58D5FCBB}" type="TxLink">
                <a:rPr lang="en-US" sz="1100" b="1" i="0" u="none" strike="noStrike">
                  <a:solidFill>
                    <a:srgbClr val="FF0000"/>
                  </a:solidFill>
                  <a:latin typeface="Aptos Narrow"/>
                </a:rPr>
                <a:pPr algn="ctr"/>
                <a:t>#Orders</a:t>
              </a:fld>
              <a:endParaRPr lang="en-NG" sz="1100" b="1">
                <a:solidFill>
                  <a:srgbClr val="FF0000"/>
                </a:solidFill>
              </a:endParaRPr>
            </a:p>
          </xdr:txBody>
        </xdr:sp>
        <xdr:sp macro="" textlink="Pivot_Tables_Performance!G34">
          <xdr:nvSpPr>
            <xdr:cNvPr id="46" name="TextBox 45">
              <a:extLst>
                <a:ext uri="{FF2B5EF4-FFF2-40B4-BE49-F238E27FC236}">
                  <a16:creationId xmlns:a16="http://schemas.microsoft.com/office/drawing/2014/main" id="{5ABA56FF-754D-3196-136C-3137FEE44FE3}"/>
                </a:ext>
              </a:extLst>
            </xdr:cNvPr>
            <xdr:cNvSpPr txBox="1"/>
          </xdr:nvSpPr>
          <xdr:spPr>
            <a:xfrm>
              <a:off x="6146800" y="2413000"/>
              <a:ext cx="9398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EC12FA-2F46-4338-BCCB-0BAC02DB9C9E}" type="TxLink">
                <a:rPr lang="en-US" sz="1100" b="1" i="0" u="none" strike="noStrike">
                  <a:solidFill>
                    <a:srgbClr val="8F112F"/>
                  </a:solidFill>
                  <a:latin typeface="Aptos Narrow"/>
                </a:rPr>
                <a:pPr algn="ctr"/>
                <a:t> 2,121 </a:t>
              </a:fld>
              <a:endParaRPr lang="en-NG" sz="1100" b="1">
                <a:solidFill>
                  <a:srgbClr val="8F112F"/>
                </a:solidFill>
              </a:endParaRPr>
            </a:p>
          </xdr:txBody>
        </xdr:sp>
      </xdr:grpSp>
      <xdr:grpSp>
        <xdr:nvGrpSpPr>
          <xdr:cNvPr id="77" name="Group 76">
            <a:extLst>
              <a:ext uri="{FF2B5EF4-FFF2-40B4-BE49-F238E27FC236}">
                <a16:creationId xmlns:a16="http://schemas.microsoft.com/office/drawing/2014/main" id="{373130D5-2F85-3FA5-DC59-8F23F0BB85EC}"/>
              </a:ext>
            </a:extLst>
          </xdr:cNvPr>
          <xdr:cNvGrpSpPr/>
        </xdr:nvGrpSpPr>
        <xdr:grpSpPr>
          <a:xfrm>
            <a:off x="6724650" y="4797498"/>
            <a:ext cx="1346235" cy="269802"/>
            <a:chOff x="5848865" y="2632148"/>
            <a:chExt cx="1275870" cy="434902"/>
          </a:xfrm>
        </xdr:grpSpPr>
        <xdr:sp macro="" textlink="">
          <xdr:nvSpPr>
            <xdr:cNvPr id="37" name="Rectangle: Rounded Corners 36">
              <a:extLst>
                <a:ext uri="{FF2B5EF4-FFF2-40B4-BE49-F238E27FC236}">
                  <a16:creationId xmlns:a16="http://schemas.microsoft.com/office/drawing/2014/main" id="{31AAB0DC-E195-13C7-7594-716F1496863A}"/>
                </a:ext>
              </a:extLst>
            </xdr:cNvPr>
            <xdr:cNvSpPr/>
          </xdr:nvSpPr>
          <xdr:spPr>
            <a:xfrm>
              <a:off x="5848865" y="2632148"/>
              <a:ext cx="1275870" cy="434902"/>
            </a:xfrm>
            <a:prstGeom prst="roundRect">
              <a:avLst>
                <a:gd name="adj" fmla="val 13542"/>
              </a:avLst>
            </a:prstGeom>
            <a:gradFill>
              <a:gsLst>
                <a:gs pos="13000">
                  <a:srgbClr val="FFC000"/>
                </a:gs>
                <a:gs pos="44000">
                  <a:schemeClr val="accent6">
                    <a:lumMod val="20000"/>
                    <a:lumOff val="80000"/>
                  </a:schemeClr>
                </a:gs>
              </a:gsLst>
              <a:lin ang="7200000" scaled="0"/>
            </a:gradFill>
            <a:ln w="3175" cap="flat">
              <a:noFill/>
              <a:miter lim="800000"/>
            </a:ln>
            <a:effectLst>
              <a:glow rad="635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solidFill>
                  <a:schemeClr val="accent2">
                    <a:lumMod val="40000"/>
                    <a:lumOff val="60000"/>
                  </a:schemeClr>
                </a:solidFill>
              </a:endParaRPr>
            </a:p>
          </xdr:txBody>
        </xdr:sp>
        <xdr:grpSp>
          <xdr:nvGrpSpPr>
            <xdr:cNvPr id="76" name="Group 75">
              <a:extLst>
                <a:ext uri="{FF2B5EF4-FFF2-40B4-BE49-F238E27FC236}">
                  <a16:creationId xmlns:a16="http://schemas.microsoft.com/office/drawing/2014/main" id="{0BE157E1-A3CC-2C5C-0ACD-C50703AC0CB1}"/>
                </a:ext>
              </a:extLst>
            </xdr:cNvPr>
            <xdr:cNvGrpSpPr/>
          </xdr:nvGrpSpPr>
          <xdr:grpSpPr>
            <a:xfrm>
              <a:off x="6165850" y="2660650"/>
              <a:ext cx="939800" cy="393700"/>
              <a:chOff x="6165850" y="2660650"/>
              <a:chExt cx="939800" cy="393700"/>
            </a:xfrm>
          </xdr:grpSpPr>
          <xdr:sp macro="" textlink="Pivot_Tables_Performance!F35">
            <xdr:nvSpPr>
              <xdr:cNvPr id="40" name="TextBox 39">
                <a:extLst>
                  <a:ext uri="{FF2B5EF4-FFF2-40B4-BE49-F238E27FC236}">
                    <a16:creationId xmlns:a16="http://schemas.microsoft.com/office/drawing/2014/main" id="{4821AE3A-7C5E-74CB-AAFB-925BC9A602BD}"/>
                  </a:ext>
                </a:extLst>
              </xdr:cNvPr>
              <xdr:cNvSpPr txBox="1"/>
            </xdr:nvSpPr>
            <xdr:spPr>
              <a:xfrm>
                <a:off x="6165850" y="2660650"/>
                <a:ext cx="9398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756719-B67D-4C94-8FCC-8CE76D14F2BC}" type="TxLink">
                  <a:rPr lang="en-US" sz="1100" b="1" i="0" u="none" strike="noStrike">
                    <a:solidFill>
                      <a:srgbClr val="FF0000"/>
                    </a:solidFill>
                    <a:latin typeface="Aptos Narrow"/>
                  </a:rPr>
                  <a:pPr algn="ctr"/>
                  <a:t>#Cities</a:t>
                </a:fld>
                <a:endParaRPr lang="en-NG" sz="1100" b="1">
                  <a:solidFill>
                    <a:srgbClr val="FF0000"/>
                  </a:solidFill>
                </a:endParaRPr>
              </a:p>
            </xdr:txBody>
          </xdr:sp>
          <xdr:sp macro="" textlink="Pivot_Tables_Performance!G35">
            <xdr:nvSpPr>
              <xdr:cNvPr id="47" name="TextBox 46">
                <a:extLst>
                  <a:ext uri="{FF2B5EF4-FFF2-40B4-BE49-F238E27FC236}">
                    <a16:creationId xmlns:a16="http://schemas.microsoft.com/office/drawing/2014/main" id="{E11223C9-0DB9-0E32-33B9-790C4817CFB7}"/>
                  </a:ext>
                </a:extLst>
              </xdr:cNvPr>
              <xdr:cNvSpPr txBox="1"/>
            </xdr:nvSpPr>
            <xdr:spPr>
              <a:xfrm>
                <a:off x="6165850" y="2870200"/>
                <a:ext cx="93980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6BE62F-1CC3-4E8F-B51E-0CC1116BD48F}" type="TxLink">
                  <a:rPr lang="en-US" sz="1100" b="1" i="0" u="none" strike="noStrike">
                    <a:solidFill>
                      <a:srgbClr val="8F112F"/>
                    </a:solidFill>
                    <a:latin typeface="Aptos Narrow"/>
                  </a:rPr>
                  <a:pPr algn="ctr"/>
                  <a:t>371</a:t>
                </a:fld>
                <a:endParaRPr lang="en-NG" sz="1100" b="1">
                  <a:solidFill>
                    <a:srgbClr val="8F112F"/>
                  </a:solidFill>
                </a:endParaRPr>
              </a:p>
            </xdr:txBody>
          </xdr:sp>
        </xdr:grpSp>
      </xdr:grpSp>
      <mc:AlternateContent xmlns:mc="http://schemas.openxmlformats.org/markup-compatibility/2006" xmlns:a14="http://schemas.microsoft.com/office/drawing/2010/main">
        <mc:Choice Requires="a14">
          <xdr:pic>
            <xdr:nvPicPr>
              <xdr:cNvPr id="23" name="Picture 22">
                <a:extLst>
                  <a:ext uri="{FF2B5EF4-FFF2-40B4-BE49-F238E27FC236}">
                    <a16:creationId xmlns:a16="http://schemas.microsoft.com/office/drawing/2014/main" id="{CDC60AFC-4A1E-796C-114D-7D4EF1601F97}"/>
                  </a:ext>
                </a:extLst>
              </xdr:cNvPr>
              <xdr:cNvPicPr>
                <a:picLocks noChangeAspect="1" noChangeArrowheads="1"/>
                <a:extLst>
                  <a:ext uri="{84589F7E-364E-4C9E-8A38-B11213B215E9}">
                    <a14:cameraTool cellRange="Pivot_Tables_Performance!$G$33" spid="_x0000_s8400"/>
                  </a:ext>
                </a:extLst>
              </xdr:cNvPicPr>
            </xdr:nvPicPr>
            <xdr:blipFill>
              <a:blip xmlns:r="http://schemas.openxmlformats.org/officeDocument/2006/relationships" r:embed="rId5"/>
              <a:srcRect/>
              <a:stretch>
                <a:fillRect/>
              </a:stretch>
            </xdr:blipFill>
            <xdr:spPr bwMode="auto">
              <a:xfrm>
                <a:off x="6562102" y="4047108"/>
                <a:ext cx="398220" cy="224285"/>
              </a:xfrm>
              <a:prstGeom prst="rect">
                <a:avLst/>
              </a:prstGeom>
              <a:noFill/>
              <a:extLst>
                <a:ext uri="{909E8E84-426E-40DD-AFC4-6F175D3DCCD1}">
                  <a14:hiddenFill>
                    <a:solidFill>
                      <a:srgbClr val="FFFFFF"/>
                    </a:solidFill>
                  </a14:hiddenFill>
                </a:ext>
              </a:extLst>
            </xdr:spPr>
          </xdr:pic>
        </mc:Choice>
        <mc:Fallback xmlns=""/>
      </mc:AlternateContent>
    </xdr:grpSp>
    <xdr:clientData/>
  </xdr:twoCellAnchor>
  <xdr:twoCellAnchor>
    <xdr:from>
      <xdr:col>12</xdr:col>
      <xdr:colOff>488950</xdr:colOff>
      <xdr:row>13</xdr:row>
      <xdr:rowOff>101600</xdr:rowOff>
    </xdr:from>
    <xdr:to>
      <xdr:col>18</xdr:col>
      <xdr:colOff>69850</xdr:colOff>
      <xdr:row>27</xdr:row>
      <xdr:rowOff>101600</xdr:rowOff>
    </xdr:to>
    <xdr:grpSp>
      <xdr:nvGrpSpPr>
        <xdr:cNvPr id="110" name="Group 109">
          <a:extLst>
            <a:ext uri="{FF2B5EF4-FFF2-40B4-BE49-F238E27FC236}">
              <a16:creationId xmlns:a16="http://schemas.microsoft.com/office/drawing/2014/main" id="{B376152A-0CD3-2769-A52C-133F800A2D3E}"/>
            </a:ext>
          </a:extLst>
        </xdr:cNvPr>
        <xdr:cNvGrpSpPr>
          <a:grpSpLocks noChangeAspect="1"/>
        </xdr:cNvGrpSpPr>
      </xdr:nvGrpSpPr>
      <xdr:grpSpPr>
        <a:xfrm>
          <a:off x="7244269" y="2472717"/>
          <a:ext cx="3228772" cy="2553511"/>
          <a:chOff x="7264400" y="2495550"/>
          <a:chExt cx="3238500" cy="2584447"/>
        </a:xfrm>
      </xdr:grpSpPr>
      <xdr:grpSp>
        <xdr:nvGrpSpPr>
          <xdr:cNvPr id="106" name="Group 105">
            <a:extLst>
              <a:ext uri="{FF2B5EF4-FFF2-40B4-BE49-F238E27FC236}">
                <a16:creationId xmlns:a16="http://schemas.microsoft.com/office/drawing/2014/main" id="{8FDD5AD7-DDD6-A67D-7867-109146C5E9B1}"/>
              </a:ext>
            </a:extLst>
          </xdr:cNvPr>
          <xdr:cNvGrpSpPr/>
        </xdr:nvGrpSpPr>
        <xdr:grpSpPr>
          <a:xfrm>
            <a:off x="7264400" y="2526150"/>
            <a:ext cx="3238500" cy="2553847"/>
            <a:chOff x="7194550" y="678300"/>
            <a:chExt cx="3238500" cy="2553847"/>
          </a:xfrm>
        </xdr:grpSpPr>
        <xdr:sp macro="" textlink="">
          <xdr:nvSpPr>
            <xdr:cNvPr id="7" name="Rectangle: Rounded Corners 6">
              <a:extLst>
                <a:ext uri="{FF2B5EF4-FFF2-40B4-BE49-F238E27FC236}">
                  <a16:creationId xmlns:a16="http://schemas.microsoft.com/office/drawing/2014/main" id="{597F6326-FA27-4A31-9C72-AB559CC1E551}"/>
                </a:ext>
              </a:extLst>
            </xdr:cNvPr>
            <xdr:cNvSpPr/>
          </xdr:nvSpPr>
          <xdr:spPr>
            <a:xfrm>
              <a:off x="7276252" y="678300"/>
              <a:ext cx="3144212" cy="2426850"/>
            </a:xfrm>
            <a:prstGeom prst="roundRect">
              <a:avLst>
                <a:gd name="adj" fmla="val 4768"/>
              </a:avLst>
            </a:prstGeom>
            <a:solidFill>
              <a:schemeClr val="tx2">
                <a:lumMod val="25000"/>
                <a:lumOff val="75000"/>
                <a:alpha val="75000"/>
              </a:schemeClr>
            </a:solidFill>
            <a:ln w="3175" cap="flat">
              <a:noFill/>
              <a:miter lim="800000"/>
            </a:ln>
            <a:effectLst>
              <a:glow rad="50800">
                <a:schemeClr val="bg1">
                  <a:lumMod val="65000"/>
                  <a:alpha val="40000"/>
                </a:scheme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graphicFrame macro="">
          <xdr:nvGraphicFramePr>
            <xdr:cNvPr id="73" name="Chart 72">
              <a:extLst>
                <a:ext uri="{FF2B5EF4-FFF2-40B4-BE49-F238E27FC236}">
                  <a16:creationId xmlns:a16="http://schemas.microsoft.com/office/drawing/2014/main" id="{E80B0118-C7F6-964B-56A4-66DF5F487645}"/>
                </a:ext>
              </a:extLst>
            </xdr:cNvPr>
            <xdr:cNvGraphicFramePr>
              <a:graphicFrameLocks/>
            </xdr:cNvGraphicFramePr>
          </xdr:nvGraphicFramePr>
          <xdr:xfrm>
            <a:off x="8724900" y="920750"/>
            <a:ext cx="1708150" cy="156210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68" name="Group 67">
              <a:extLst>
                <a:ext uri="{FF2B5EF4-FFF2-40B4-BE49-F238E27FC236}">
                  <a16:creationId xmlns:a16="http://schemas.microsoft.com/office/drawing/2014/main" id="{B24AEA80-956C-B9DE-8B05-F1029C2535CD}"/>
                </a:ext>
              </a:extLst>
            </xdr:cNvPr>
            <xdr:cNvGrpSpPr/>
          </xdr:nvGrpSpPr>
          <xdr:grpSpPr>
            <a:xfrm>
              <a:off x="8655048" y="2165351"/>
              <a:ext cx="1752602" cy="1028702"/>
              <a:chOff x="8521304" y="2122986"/>
              <a:chExt cx="1943903" cy="996344"/>
            </a:xfrm>
          </xdr:grpSpPr>
          <xdr:graphicFrame macro="">
            <xdr:nvGraphicFramePr>
              <xdr:cNvPr id="79" name="Chart 78">
                <a:extLst>
                  <a:ext uri="{FF2B5EF4-FFF2-40B4-BE49-F238E27FC236}">
                    <a16:creationId xmlns:a16="http://schemas.microsoft.com/office/drawing/2014/main" id="{231CE2EC-1034-9CCE-3282-4FFDE3AC678E}"/>
                  </a:ext>
                </a:extLst>
              </xdr:cNvPr>
              <xdr:cNvGraphicFramePr>
                <a:graphicFrameLocks/>
              </xdr:cNvGraphicFramePr>
            </xdr:nvGraphicFramePr>
            <xdr:xfrm>
              <a:off x="9918711" y="2122986"/>
              <a:ext cx="546496" cy="996344"/>
            </xdr:xfrm>
            <a:graphic>
              <a:graphicData uri="http://schemas.openxmlformats.org/drawingml/2006/chart">
                <c:chart xmlns:c="http://schemas.openxmlformats.org/drawingml/2006/chart" xmlns:r="http://schemas.openxmlformats.org/officeDocument/2006/relationships" r:id="rId7"/>
              </a:graphicData>
            </a:graphic>
          </xdr:graphicFrame>
          <xdr:sp macro="" textlink="Pivot_Tables_Performance!K59">
            <xdr:nvSpPr>
              <xdr:cNvPr id="80" name="TextBox 79">
                <a:extLst>
                  <a:ext uri="{FF2B5EF4-FFF2-40B4-BE49-F238E27FC236}">
                    <a16:creationId xmlns:a16="http://schemas.microsoft.com/office/drawing/2014/main" id="{5954CA0C-5767-DCCD-DE7C-A8821FEF75DB}"/>
                  </a:ext>
                </a:extLst>
              </xdr:cNvPr>
              <xdr:cNvSpPr txBox="1"/>
            </xdr:nvSpPr>
            <xdr:spPr>
              <a:xfrm>
                <a:off x="10014850" y="2562728"/>
                <a:ext cx="422549" cy="319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4D7C92-F813-424C-8696-B77471FCE3E0}" type="TxLink">
                  <a:rPr lang="en-US" sz="800" b="1" i="0" u="none" strike="noStrike">
                    <a:solidFill>
                      <a:srgbClr val="FF0000"/>
                    </a:solidFill>
                    <a:latin typeface="Aptos Narrow"/>
                  </a:rPr>
                  <a:pPr algn="ctr"/>
                  <a:t>11%</a:t>
                </a:fld>
                <a:endParaRPr lang="en-NG" sz="100">
                  <a:solidFill>
                    <a:srgbClr val="FF0000"/>
                  </a:solidFill>
                </a:endParaRPr>
              </a:p>
            </xdr:txBody>
          </xdr:sp>
          <xdr:graphicFrame macro="">
            <xdr:nvGraphicFramePr>
              <xdr:cNvPr id="61" name="Chart 60">
                <a:extLst>
                  <a:ext uri="{FF2B5EF4-FFF2-40B4-BE49-F238E27FC236}">
                    <a16:creationId xmlns:a16="http://schemas.microsoft.com/office/drawing/2014/main" id="{133841B9-1417-7978-435C-131A04396949}"/>
                  </a:ext>
                </a:extLst>
              </xdr:cNvPr>
              <xdr:cNvGraphicFramePr>
                <a:graphicFrameLocks/>
              </xdr:cNvGraphicFramePr>
            </xdr:nvGraphicFramePr>
            <xdr:xfrm>
              <a:off x="9436106" y="2155120"/>
              <a:ext cx="546496" cy="950528"/>
            </xdr:xfrm>
            <a:graphic>
              <a:graphicData uri="http://schemas.openxmlformats.org/drawingml/2006/chart">
                <c:chart xmlns:c="http://schemas.openxmlformats.org/drawingml/2006/chart" xmlns:r="http://schemas.openxmlformats.org/officeDocument/2006/relationships" r:id="rId8"/>
              </a:graphicData>
            </a:graphic>
          </xdr:graphicFrame>
          <xdr:sp macro="" textlink="Pivot_Tables_Performance!K58">
            <xdr:nvSpPr>
              <xdr:cNvPr id="62" name="TextBox 61">
                <a:extLst>
                  <a:ext uri="{FF2B5EF4-FFF2-40B4-BE49-F238E27FC236}">
                    <a16:creationId xmlns:a16="http://schemas.microsoft.com/office/drawing/2014/main" id="{CE72C5B7-B41A-210B-058D-4875E62CC893}"/>
                  </a:ext>
                </a:extLst>
              </xdr:cNvPr>
              <xdr:cNvSpPr txBox="1"/>
            </xdr:nvSpPr>
            <xdr:spPr>
              <a:xfrm>
                <a:off x="9542669" y="2569115"/>
                <a:ext cx="422550" cy="307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52B6DC-3DD8-4328-AF6C-B24D5258BF84}" type="TxLink">
                  <a:rPr lang="en-US" sz="800" b="1" i="0" u="none" strike="noStrike">
                    <a:solidFill>
                      <a:srgbClr val="FF0000"/>
                    </a:solidFill>
                    <a:latin typeface="Aptos Narrow"/>
                  </a:rPr>
                  <a:pPr algn="ctr"/>
                  <a:t>19%</a:t>
                </a:fld>
                <a:endParaRPr lang="en-NG" sz="100">
                  <a:solidFill>
                    <a:srgbClr val="FF0000"/>
                  </a:solidFill>
                </a:endParaRPr>
              </a:p>
            </xdr:txBody>
          </xdr:sp>
          <xdr:graphicFrame macro="">
            <xdr:nvGraphicFramePr>
              <xdr:cNvPr id="64" name="Chart 63">
                <a:extLst>
                  <a:ext uri="{FF2B5EF4-FFF2-40B4-BE49-F238E27FC236}">
                    <a16:creationId xmlns:a16="http://schemas.microsoft.com/office/drawing/2014/main" id="{CF78013B-1312-524E-8383-59B64C6ABFA8}"/>
                  </a:ext>
                </a:extLst>
              </xdr:cNvPr>
              <xdr:cNvGraphicFramePr>
                <a:graphicFrameLocks/>
              </xdr:cNvGraphicFramePr>
            </xdr:nvGraphicFramePr>
            <xdr:xfrm>
              <a:off x="8953103" y="2155120"/>
              <a:ext cx="546496" cy="950528"/>
            </xdr:xfrm>
            <a:graphic>
              <a:graphicData uri="http://schemas.openxmlformats.org/drawingml/2006/chart">
                <c:chart xmlns:c="http://schemas.openxmlformats.org/drawingml/2006/chart" xmlns:r="http://schemas.openxmlformats.org/officeDocument/2006/relationships" r:id="rId9"/>
              </a:graphicData>
            </a:graphic>
          </xdr:graphicFrame>
          <xdr:sp macro="" textlink="Pivot_Tables_Performance!K57">
            <xdr:nvSpPr>
              <xdr:cNvPr id="65" name="TextBox 64">
                <a:extLst>
                  <a:ext uri="{FF2B5EF4-FFF2-40B4-BE49-F238E27FC236}">
                    <a16:creationId xmlns:a16="http://schemas.microsoft.com/office/drawing/2014/main" id="{FC07EA0C-6413-EAC7-CE7B-548614591622}"/>
                  </a:ext>
                </a:extLst>
              </xdr:cNvPr>
              <xdr:cNvSpPr txBox="1"/>
            </xdr:nvSpPr>
            <xdr:spPr>
              <a:xfrm>
                <a:off x="9049960" y="2569115"/>
                <a:ext cx="422549" cy="307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E5AF55F-5775-496D-AE6B-F6F763726C16}" type="TxLink">
                  <a:rPr lang="en-US" sz="800" b="1" i="0" u="none" strike="noStrike">
                    <a:solidFill>
                      <a:srgbClr val="FF0000"/>
                    </a:solidFill>
                    <a:latin typeface="Aptos Narrow"/>
                  </a:rPr>
                  <a:pPr algn="ctr"/>
                  <a:t>25%</a:t>
                </a:fld>
                <a:endParaRPr lang="en-NG" sz="100">
                  <a:solidFill>
                    <a:srgbClr val="FF0000"/>
                  </a:solidFill>
                </a:endParaRPr>
              </a:p>
            </xdr:txBody>
          </xdr:sp>
          <xdr:graphicFrame macro="">
            <xdr:nvGraphicFramePr>
              <xdr:cNvPr id="66" name="Chart 65">
                <a:extLst>
                  <a:ext uri="{FF2B5EF4-FFF2-40B4-BE49-F238E27FC236}">
                    <a16:creationId xmlns:a16="http://schemas.microsoft.com/office/drawing/2014/main" id="{4A9E28F1-4EF8-3DF7-B4FC-2F57916C1EBC}"/>
                  </a:ext>
                </a:extLst>
              </xdr:cNvPr>
              <xdr:cNvGraphicFramePr>
                <a:graphicFrameLocks/>
              </xdr:cNvGraphicFramePr>
            </xdr:nvGraphicFramePr>
            <xdr:xfrm>
              <a:off x="8521304" y="2155120"/>
              <a:ext cx="546496" cy="950529"/>
            </xdr:xfrm>
            <a:graphic>
              <a:graphicData uri="http://schemas.openxmlformats.org/drawingml/2006/chart">
                <c:chart xmlns:c="http://schemas.openxmlformats.org/drawingml/2006/chart" xmlns:r="http://schemas.openxmlformats.org/officeDocument/2006/relationships" r:id="rId10"/>
              </a:graphicData>
            </a:graphic>
          </xdr:graphicFrame>
          <xdr:sp macro="" textlink="Pivot_Tables_Performance!K56">
            <xdr:nvSpPr>
              <xdr:cNvPr id="67" name="TextBox 66">
                <a:extLst>
                  <a:ext uri="{FF2B5EF4-FFF2-40B4-BE49-F238E27FC236}">
                    <a16:creationId xmlns:a16="http://schemas.microsoft.com/office/drawing/2014/main" id="{52FDB2CF-FAED-5861-F800-EE6C9B9DA722}"/>
                  </a:ext>
                </a:extLst>
              </xdr:cNvPr>
              <xdr:cNvSpPr txBox="1"/>
            </xdr:nvSpPr>
            <xdr:spPr>
              <a:xfrm>
                <a:off x="8617111" y="2569115"/>
                <a:ext cx="422550" cy="307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EBD374-E121-444E-BCFE-4825ED6080A9}" type="TxLink">
                  <a:rPr lang="en-US" sz="800" b="1" i="0" u="none" strike="noStrike">
                    <a:solidFill>
                      <a:srgbClr val="FF0000"/>
                    </a:solidFill>
                    <a:latin typeface="Aptos Narrow"/>
                  </a:rPr>
                  <a:pPr algn="ctr"/>
                  <a:t>46%</a:t>
                </a:fld>
                <a:endParaRPr lang="en-NG" sz="200">
                  <a:solidFill>
                    <a:srgbClr val="FF0000"/>
                  </a:solidFill>
                </a:endParaRPr>
              </a:p>
            </xdr:txBody>
          </xdr:sp>
        </xdr:grpSp>
        <xdr:graphicFrame macro="">
          <xdr:nvGraphicFramePr>
            <xdr:cNvPr id="27" name="Chart 26">
              <a:extLst>
                <a:ext uri="{FF2B5EF4-FFF2-40B4-BE49-F238E27FC236}">
                  <a16:creationId xmlns:a16="http://schemas.microsoft.com/office/drawing/2014/main" id="{496996EF-48BA-4981-81F5-31F08F29A9A1}"/>
                </a:ext>
              </a:extLst>
            </xdr:cNvPr>
            <xdr:cNvGraphicFramePr>
              <a:graphicFrameLocks/>
            </xdr:cNvGraphicFramePr>
          </xdr:nvGraphicFramePr>
          <xdr:xfrm>
            <a:off x="7273386" y="920750"/>
            <a:ext cx="1397048" cy="1555750"/>
          </xdr:xfrm>
          <a:graphic>
            <a:graphicData uri="http://schemas.openxmlformats.org/drawingml/2006/chart">
              <c:chart xmlns:c="http://schemas.openxmlformats.org/drawingml/2006/chart" xmlns:r="http://schemas.openxmlformats.org/officeDocument/2006/relationships" r:id="rId11"/>
            </a:graphicData>
          </a:graphic>
        </xdr:graphicFrame>
        <xdr:grpSp>
          <xdr:nvGrpSpPr>
            <xdr:cNvPr id="69" name="Group 68">
              <a:extLst>
                <a:ext uri="{FF2B5EF4-FFF2-40B4-BE49-F238E27FC236}">
                  <a16:creationId xmlns:a16="http://schemas.microsoft.com/office/drawing/2014/main" id="{5A9CC1A3-2658-70E9-F20B-6EA29E69C6BC}"/>
                </a:ext>
              </a:extLst>
            </xdr:cNvPr>
            <xdr:cNvGrpSpPr/>
          </xdr:nvGrpSpPr>
          <xdr:grpSpPr>
            <a:xfrm>
              <a:off x="7194550" y="2130335"/>
              <a:ext cx="1485898" cy="1101812"/>
              <a:chOff x="7200900" y="2276386"/>
              <a:chExt cx="1511298" cy="898613"/>
            </a:xfrm>
          </xdr:grpSpPr>
          <xdr:grpSp>
            <xdr:nvGrpSpPr>
              <xdr:cNvPr id="51" name="Group 50">
                <a:extLst>
                  <a:ext uri="{FF2B5EF4-FFF2-40B4-BE49-F238E27FC236}">
                    <a16:creationId xmlns:a16="http://schemas.microsoft.com/office/drawing/2014/main" id="{431E30DE-D37C-8831-7C31-0C21F54BD88C}"/>
                  </a:ext>
                </a:extLst>
              </xdr:cNvPr>
              <xdr:cNvGrpSpPr/>
            </xdr:nvGrpSpPr>
            <xdr:grpSpPr>
              <a:xfrm>
                <a:off x="7200900" y="2295778"/>
                <a:ext cx="557218" cy="879221"/>
                <a:chOff x="7213600" y="2266949"/>
                <a:chExt cx="615950" cy="863600"/>
              </a:xfrm>
            </xdr:grpSpPr>
            <xdr:graphicFrame macro="">
              <xdr:nvGraphicFramePr>
                <xdr:cNvPr id="28" name="Chart 27">
                  <a:extLst>
                    <a:ext uri="{FF2B5EF4-FFF2-40B4-BE49-F238E27FC236}">
                      <a16:creationId xmlns:a16="http://schemas.microsoft.com/office/drawing/2014/main" id="{E17703D3-8365-46F6-91CE-2FF2FCE5F16F}"/>
                    </a:ext>
                  </a:extLst>
                </xdr:cNvPr>
                <xdr:cNvGraphicFramePr>
                  <a:graphicFrameLocks/>
                </xdr:cNvGraphicFramePr>
              </xdr:nvGraphicFramePr>
              <xdr:xfrm>
                <a:off x="7213600" y="2266949"/>
                <a:ext cx="615950" cy="86360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_Tables_Performance!G56">
              <xdr:nvSpPr>
                <xdr:cNvPr id="50" name="TextBox 49">
                  <a:extLst>
                    <a:ext uri="{FF2B5EF4-FFF2-40B4-BE49-F238E27FC236}">
                      <a16:creationId xmlns:a16="http://schemas.microsoft.com/office/drawing/2014/main" id="{A96C4884-5B6E-5CD7-EEF5-1EECE600E6B0}"/>
                    </a:ext>
                  </a:extLst>
                </xdr:cNvPr>
                <xdr:cNvSpPr txBox="1"/>
              </xdr:nvSpPr>
              <xdr:spPr>
                <a:xfrm>
                  <a:off x="7334251" y="2638424"/>
                  <a:ext cx="4762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340C84-E850-439E-BE1C-F96D2209BAF3}" type="TxLink">
                    <a:rPr lang="en-US" sz="900" b="1" i="0" u="none" strike="noStrike">
                      <a:solidFill>
                        <a:srgbClr val="FF0000"/>
                      </a:solidFill>
                      <a:latin typeface="Aptos Narrow"/>
                    </a:rPr>
                    <a:pPr algn="ctr"/>
                    <a:t>50%</a:t>
                  </a:fld>
                  <a:endParaRPr lang="en-NG" sz="300">
                    <a:solidFill>
                      <a:srgbClr val="FF0000"/>
                    </a:solidFill>
                  </a:endParaRPr>
                </a:p>
              </xdr:txBody>
            </xdr:sp>
          </xdr:grpSp>
          <xdr:grpSp>
            <xdr:nvGrpSpPr>
              <xdr:cNvPr id="52" name="Group 51">
                <a:extLst>
                  <a:ext uri="{FF2B5EF4-FFF2-40B4-BE49-F238E27FC236}">
                    <a16:creationId xmlns:a16="http://schemas.microsoft.com/office/drawing/2014/main" id="{432AD55E-002E-7F43-6006-0DF62EA9B7E0}"/>
                  </a:ext>
                </a:extLst>
              </xdr:cNvPr>
              <xdr:cNvGrpSpPr/>
            </xdr:nvGrpSpPr>
            <xdr:grpSpPr>
              <a:xfrm>
                <a:off x="7677941" y="2276386"/>
                <a:ext cx="557218" cy="879222"/>
                <a:chOff x="7213600" y="2266951"/>
                <a:chExt cx="615950" cy="863601"/>
              </a:xfrm>
            </xdr:grpSpPr>
            <xdr:graphicFrame macro="">
              <xdr:nvGraphicFramePr>
                <xdr:cNvPr id="53" name="Chart 52">
                  <a:extLst>
                    <a:ext uri="{FF2B5EF4-FFF2-40B4-BE49-F238E27FC236}">
                      <a16:creationId xmlns:a16="http://schemas.microsoft.com/office/drawing/2014/main" id="{99C83E42-1D34-8FD0-F7D3-D604A5FA3BDC}"/>
                    </a:ext>
                  </a:extLst>
                </xdr:cNvPr>
                <xdr:cNvGraphicFramePr>
                  <a:graphicFrameLocks/>
                </xdr:cNvGraphicFramePr>
              </xdr:nvGraphicFramePr>
              <xdr:xfrm>
                <a:off x="7213600" y="2266951"/>
                <a:ext cx="615950" cy="863601"/>
              </xdr:xfrm>
              <a:graphic>
                <a:graphicData uri="http://schemas.openxmlformats.org/drawingml/2006/chart">
                  <c:chart xmlns:c="http://schemas.openxmlformats.org/drawingml/2006/chart" xmlns:r="http://schemas.openxmlformats.org/officeDocument/2006/relationships" r:id="rId13"/>
                </a:graphicData>
              </a:graphic>
            </xdr:graphicFrame>
            <xdr:sp macro="" textlink="Pivot_Tables_Performance!G57">
              <xdr:nvSpPr>
                <xdr:cNvPr id="54" name="TextBox 53">
                  <a:extLst>
                    <a:ext uri="{FF2B5EF4-FFF2-40B4-BE49-F238E27FC236}">
                      <a16:creationId xmlns:a16="http://schemas.microsoft.com/office/drawing/2014/main" id="{ECCB9D92-4749-249D-192B-C189E89E7F38}"/>
                    </a:ext>
                  </a:extLst>
                </xdr:cNvPr>
                <xdr:cNvSpPr txBox="1"/>
              </xdr:nvSpPr>
              <xdr:spPr>
                <a:xfrm>
                  <a:off x="7334250" y="2657474"/>
                  <a:ext cx="4762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D18B71-0FB6-47AE-AC49-3C2AFB144A44}" type="TxLink">
                    <a:rPr lang="en-US" sz="900" b="1" i="0" u="none" strike="noStrike">
                      <a:solidFill>
                        <a:srgbClr val="FF0000"/>
                      </a:solidFill>
                      <a:latin typeface="Aptos Narrow"/>
                    </a:rPr>
                    <a:pPr algn="ctr"/>
                    <a:t>33%</a:t>
                  </a:fld>
                  <a:endParaRPr lang="en-NG" sz="300">
                    <a:solidFill>
                      <a:srgbClr val="FF0000"/>
                    </a:solidFill>
                  </a:endParaRPr>
                </a:p>
              </xdr:txBody>
            </xdr:sp>
          </xdr:grpSp>
          <xdr:grpSp>
            <xdr:nvGrpSpPr>
              <xdr:cNvPr id="55" name="Group 54">
                <a:extLst>
                  <a:ext uri="{FF2B5EF4-FFF2-40B4-BE49-F238E27FC236}">
                    <a16:creationId xmlns:a16="http://schemas.microsoft.com/office/drawing/2014/main" id="{2816E46D-22A2-3B77-5A43-B575D2919330}"/>
                  </a:ext>
                </a:extLst>
              </xdr:cNvPr>
              <xdr:cNvGrpSpPr/>
            </xdr:nvGrpSpPr>
            <xdr:grpSpPr>
              <a:xfrm>
                <a:off x="8154980" y="2282852"/>
                <a:ext cx="557218" cy="879222"/>
                <a:chOff x="7213598" y="2266952"/>
                <a:chExt cx="615950" cy="863601"/>
              </a:xfrm>
            </xdr:grpSpPr>
            <xdr:graphicFrame macro="">
              <xdr:nvGraphicFramePr>
                <xdr:cNvPr id="56" name="Chart 55">
                  <a:extLst>
                    <a:ext uri="{FF2B5EF4-FFF2-40B4-BE49-F238E27FC236}">
                      <a16:creationId xmlns:a16="http://schemas.microsoft.com/office/drawing/2014/main" id="{1B2A6F4B-EEFB-399A-71C2-DA994BC40BFE}"/>
                    </a:ext>
                  </a:extLst>
                </xdr:cNvPr>
                <xdr:cNvGraphicFramePr>
                  <a:graphicFrameLocks/>
                </xdr:cNvGraphicFramePr>
              </xdr:nvGraphicFramePr>
              <xdr:xfrm>
                <a:off x="7213598" y="2266952"/>
                <a:ext cx="615950" cy="863601"/>
              </xdr:xfrm>
              <a:graphic>
                <a:graphicData uri="http://schemas.openxmlformats.org/drawingml/2006/chart">
                  <c:chart xmlns:c="http://schemas.openxmlformats.org/drawingml/2006/chart" xmlns:r="http://schemas.openxmlformats.org/officeDocument/2006/relationships" r:id="rId14"/>
                </a:graphicData>
              </a:graphic>
            </xdr:graphicFrame>
            <xdr:sp macro="" textlink="Pivot_Tables_Performance!G58">
              <xdr:nvSpPr>
                <xdr:cNvPr id="58" name="TextBox 57">
                  <a:extLst>
                    <a:ext uri="{FF2B5EF4-FFF2-40B4-BE49-F238E27FC236}">
                      <a16:creationId xmlns:a16="http://schemas.microsoft.com/office/drawing/2014/main" id="{E73035DD-9FAC-27E6-1BDF-B731C04CEEA9}"/>
                    </a:ext>
                  </a:extLst>
                </xdr:cNvPr>
                <xdr:cNvSpPr txBox="1"/>
              </xdr:nvSpPr>
              <xdr:spPr>
                <a:xfrm>
                  <a:off x="7334247" y="2651124"/>
                  <a:ext cx="4762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A9D0EB-97E0-42C5-B49C-BF7952F7472F}" type="TxLink">
                    <a:rPr lang="en-US" sz="900" b="1" i="0" u="none" strike="noStrike">
                      <a:solidFill>
                        <a:srgbClr val="FF0000"/>
                      </a:solidFill>
                      <a:latin typeface="Aptos Narrow"/>
                    </a:rPr>
                    <a:pPr algn="ctr"/>
                    <a:t>18%</a:t>
                  </a:fld>
                  <a:endParaRPr lang="en-NG" sz="300">
                    <a:solidFill>
                      <a:srgbClr val="FF0000"/>
                    </a:solidFill>
                  </a:endParaRPr>
                </a:p>
              </xdr:txBody>
            </xdr:sp>
          </xdr:grpSp>
        </xdr:grpSp>
        <xdr:sp macro="" textlink="">
          <xdr:nvSpPr>
            <xdr:cNvPr id="87" name="TextBox 86">
              <a:extLst>
                <a:ext uri="{FF2B5EF4-FFF2-40B4-BE49-F238E27FC236}">
                  <a16:creationId xmlns:a16="http://schemas.microsoft.com/office/drawing/2014/main" id="{277FA3BD-F855-8117-8CEB-8F2DD968BA7D}"/>
                </a:ext>
              </a:extLst>
            </xdr:cNvPr>
            <xdr:cNvSpPr txBox="1"/>
          </xdr:nvSpPr>
          <xdr:spPr>
            <a:xfrm>
              <a:off x="8940800" y="730250"/>
              <a:ext cx="1200150" cy="158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1">
                  <a:solidFill>
                    <a:srgbClr val="C00000"/>
                  </a:solidFill>
                </a:rPr>
                <a:t>Profit</a:t>
              </a:r>
              <a:r>
                <a:rPr lang="en-GB" sz="1050" b="1" baseline="0">
                  <a:solidFill>
                    <a:srgbClr val="C00000"/>
                  </a:solidFill>
                </a:rPr>
                <a:t> by Category</a:t>
              </a:r>
              <a:endParaRPr lang="en-NG" sz="1050" b="1">
                <a:solidFill>
                  <a:srgbClr val="C00000"/>
                </a:solidFill>
              </a:endParaRPr>
            </a:p>
          </xdr:txBody>
        </xdr:sp>
        <xdr:sp macro="" textlink="">
          <xdr:nvSpPr>
            <xdr:cNvPr id="86" name="TextBox 85">
              <a:extLst>
                <a:ext uri="{FF2B5EF4-FFF2-40B4-BE49-F238E27FC236}">
                  <a16:creationId xmlns:a16="http://schemas.microsoft.com/office/drawing/2014/main" id="{7BE4A112-E0EF-20A8-E589-B6DCEFA3B9CB}"/>
                </a:ext>
              </a:extLst>
            </xdr:cNvPr>
            <xdr:cNvSpPr txBox="1"/>
          </xdr:nvSpPr>
          <xdr:spPr>
            <a:xfrm>
              <a:off x="7385050" y="727075"/>
              <a:ext cx="1231900" cy="165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b="1">
                  <a:solidFill>
                    <a:srgbClr val="C00000"/>
                  </a:solidFill>
                </a:rPr>
                <a:t>Profit</a:t>
              </a:r>
              <a:r>
                <a:rPr lang="en-GB" sz="1050" b="1" baseline="0">
                  <a:solidFill>
                    <a:srgbClr val="C00000"/>
                  </a:solidFill>
                </a:rPr>
                <a:t> by Segement</a:t>
              </a:r>
              <a:endParaRPr lang="en-NG" sz="1050" b="1">
                <a:solidFill>
                  <a:srgbClr val="C00000"/>
                </a:solidFill>
              </a:endParaRPr>
            </a:p>
          </xdr:txBody>
        </xdr:sp>
      </xdr:grpSp>
      <xdr:cxnSp macro="">
        <xdr:nvCxnSpPr>
          <xdr:cNvPr id="71" name="Straight Connector 70">
            <a:extLst>
              <a:ext uri="{FF2B5EF4-FFF2-40B4-BE49-F238E27FC236}">
                <a16:creationId xmlns:a16="http://schemas.microsoft.com/office/drawing/2014/main" id="{4A76FEF4-E849-F873-9DFF-C2A8A0B8B962}"/>
              </a:ext>
            </a:extLst>
          </xdr:cNvPr>
          <xdr:cNvCxnSpPr/>
        </xdr:nvCxnSpPr>
        <xdr:spPr>
          <a:xfrm flipH="1">
            <a:off x="8775700" y="2495550"/>
            <a:ext cx="6350" cy="2463800"/>
          </a:xfrm>
          <a:prstGeom prst="line">
            <a:avLst/>
          </a:prstGeom>
          <a:ln w="28575">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558800</xdr:colOff>
          <xdr:row>4</xdr:row>
          <xdr:rowOff>82550</xdr:rowOff>
        </xdr:from>
        <xdr:to>
          <xdr:col>5</xdr:col>
          <xdr:colOff>508000</xdr:colOff>
          <xdr:row>5</xdr:row>
          <xdr:rowOff>120650</xdr:rowOff>
        </xdr:to>
        <xdr:sp macro="" textlink="">
          <xdr:nvSpPr>
            <xdr:cNvPr id="8302" name="Drop Down 110" hidden="1">
              <a:extLst>
                <a:ext uri="{63B3BB69-23CF-44E3-9099-C40C66FF867C}">
                  <a14:compatExt spid="_x0000_s8302"/>
                </a:ext>
                <a:ext uri="{FF2B5EF4-FFF2-40B4-BE49-F238E27FC236}">
                  <a16:creationId xmlns:a16="http://schemas.microsoft.com/office/drawing/2014/main" id="{00000000-0008-0000-0100-00006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95250</xdr:colOff>
      <xdr:row>5</xdr:row>
      <xdr:rowOff>158750</xdr:rowOff>
    </xdr:from>
    <xdr:to>
      <xdr:col>5</xdr:col>
      <xdr:colOff>565150</xdr:colOff>
      <xdr:row>22</xdr:row>
      <xdr:rowOff>120650</xdr:rowOff>
    </xdr:to>
    <xdr:graphicFrame macro="">
      <xdr:nvGraphicFramePr>
        <xdr:cNvPr id="48" name="Chart 47">
          <a:extLst>
            <a:ext uri="{FF2B5EF4-FFF2-40B4-BE49-F238E27FC236}">
              <a16:creationId xmlns:a16="http://schemas.microsoft.com/office/drawing/2014/main" id="{A7E3A618-C424-486A-8682-731EC485AA74}"/>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38100</xdr:colOff>
      <xdr:row>4</xdr:row>
      <xdr:rowOff>95250</xdr:rowOff>
    </xdr:from>
    <xdr:to>
      <xdr:col>2</xdr:col>
      <xdr:colOff>495300</xdr:colOff>
      <xdr:row>5</xdr:row>
      <xdr:rowOff>107950</xdr:rowOff>
    </xdr:to>
    <xdr:sp macro="" textlink="">
      <xdr:nvSpPr>
        <xdr:cNvPr id="59" name="TextBox 58">
          <a:extLst>
            <a:ext uri="{FF2B5EF4-FFF2-40B4-BE49-F238E27FC236}">
              <a16:creationId xmlns:a16="http://schemas.microsoft.com/office/drawing/2014/main" id="{388FE3BB-D60C-AA92-34EF-DE80893DA2A5}"/>
            </a:ext>
          </a:extLst>
        </xdr:cNvPr>
        <xdr:cNvSpPr txBox="1">
          <a:spLocks noChangeAspect="1"/>
        </xdr:cNvSpPr>
      </xdr:nvSpPr>
      <xdr:spPr>
        <a:xfrm>
          <a:off x="107950" y="831850"/>
          <a:ext cx="106680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900" b="1">
              <a:solidFill>
                <a:srgbClr val="C00000"/>
              </a:solidFill>
              <a:latin typeface="Times New Roman" panose="02020603050405020304" pitchFamily="18" charset="0"/>
              <a:cs typeface="Times New Roman" panose="02020603050405020304" pitchFamily="18" charset="0"/>
            </a:rPr>
            <a:t>Choose a Product</a:t>
          </a:r>
          <a:endParaRPr lang="en-NG" sz="9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57150</xdr:colOff>
      <xdr:row>3</xdr:row>
      <xdr:rowOff>25400</xdr:rowOff>
    </xdr:from>
    <xdr:to>
      <xdr:col>5</xdr:col>
      <xdr:colOff>190500</xdr:colOff>
      <xdr:row>4</xdr:row>
      <xdr:rowOff>44450</xdr:rowOff>
    </xdr:to>
    <xdr:sp macro="" textlink="">
      <xdr:nvSpPr>
        <xdr:cNvPr id="60" name="TextBox 59">
          <a:extLst>
            <a:ext uri="{FF2B5EF4-FFF2-40B4-BE49-F238E27FC236}">
              <a16:creationId xmlns:a16="http://schemas.microsoft.com/office/drawing/2014/main" id="{70A3B3DC-056B-57F5-0D33-0A6FB27F90E7}"/>
            </a:ext>
          </a:extLst>
        </xdr:cNvPr>
        <xdr:cNvSpPr txBox="1">
          <a:spLocks noChangeAspect="1"/>
        </xdr:cNvSpPr>
      </xdr:nvSpPr>
      <xdr:spPr>
        <a:xfrm>
          <a:off x="736600" y="577850"/>
          <a:ext cx="1962150" cy="203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1">
              <a:solidFill>
                <a:srgbClr val="C00000"/>
              </a:solidFill>
              <a:latin typeface="Times New Roman" panose="02020603050405020304" pitchFamily="18" charset="0"/>
              <a:cs typeface="Times New Roman" panose="02020603050405020304" pitchFamily="18" charset="0"/>
            </a:rPr>
            <a:t>Top Product</a:t>
          </a:r>
          <a:r>
            <a:rPr lang="en-GB" sz="1050" b="1" baseline="0">
              <a:solidFill>
                <a:srgbClr val="C00000"/>
              </a:solidFill>
              <a:latin typeface="Times New Roman" panose="02020603050405020304" pitchFamily="18" charset="0"/>
              <a:cs typeface="Times New Roman" panose="02020603050405020304" pitchFamily="18" charset="0"/>
            </a:rPr>
            <a:t> Performance</a:t>
          </a:r>
          <a:endParaRPr lang="en-NG" sz="105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25400</xdr:colOff>
      <xdr:row>22</xdr:row>
      <xdr:rowOff>57150</xdr:rowOff>
    </xdr:from>
    <xdr:to>
      <xdr:col>5</xdr:col>
      <xdr:colOff>539750</xdr:colOff>
      <xdr:row>24</xdr:row>
      <xdr:rowOff>95250</xdr:rowOff>
    </xdr:to>
    <xdr:graphicFrame macro="">
      <xdr:nvGraphicFramePr>
        <xdr:cNvPr id="63" name="Chart 62">
          <a:extLst>
            <a:ext uri="{FF2B5EF4-FFF2-40B4-BE49-F238E27FC236}">
              <a16:creationId xmlns:a16="http://schemas.microsoft.com/office/drawing/2014/main" id="{30EAEDA2-5C7E-49E1-B96C-498A6176E20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222250</xdr:colOff>
      <xdr:row>23</xdr:row>
      <xdr:rowOff>158750</xdr:rowOff>
    </xdr:from>
    <xdr:to>
      <xdr:col>3</xdr:col>
      <xdr:colOff>177800</xdr:colOff>
      <xdr:row>24</xdr:row>
      <xdr:rowOff>158750</xdr:rowOff>
    </xdr:to>
    <xdr:sp macro="" textlink="">
      <xdr:nvSpPr>
        <xdr:cNvPr id="161" name="TextBox 160">
          <a:extLst>
            <a:ext uri="{FF2B5EF4-FFF2-40B4-BE49-F238E27FC236}">
              <a16:creationId xmlns:a16="http://schemas.microsoft.com/office/drawing/2014/main" id="{19D6193A-A079-DBA6-2311-274541820154}"/>
            </a:ext>
          </a:extLst>
        </xdr:cNvPr>
        <xdr:cNvSpPr txBox="1">
          <a:spLocks noChangeAspect="1"/>
        </xdr:cNvSpPr>
      </xdr:nvSpPr>
      <xdr:spPr>
        <a:xfrm>
          <a:off x="292100" y="4394200"/>
          <a:ext cx="1174750" cy="184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1">
              <a:solidFill>
                <a:srgbClr val="C00000"/>
              </a:solidFill>
              <a:latin typeface="Times New Roman" panose="02020603050405020304" pitchFamily="18" charset="0"/>
              <a:cs typeface="Times New Roman" panose="02020603050405020304" pitchFamily="18" charset="0"/>
            </a:rPr>
            <a:t>Top_10</a:t>
          </a:r>
          <a:r>
            <a:rPr lang="en-GB" sz="1000" b="1" baseline="0">
              <a:solidFill>
                <a:srgbClr val="C00000"/>
              </a:solidFill>
              <a:latin typeface="Times New Roman" panose="02020603050405020304" pitchFamily="18" charset="0"/>
              <a:cs typeface="Times New Roman" panose="02020603050405020304" pitchFamily="18" charset="0"/>
            </a:rPr>
            <a:t> Products</a:t>
          </a:r>
          <a:endParaRPr lang="en-NG" sz="10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12700</xdr:colOff>
      <xdr:row>23</xdr:row>
      <xdr:rowOff>168275</xdr:rowOff>
    </xdr:from>
    <xdr:to>
      <xdr:col>5</xdr:col>
      <xdr:colOff>577850</xdr:colOff>
      <xdr:row>24</xdr:row>
      <xdr:rowOff>155575</xdr:rowOff>
    </xdr:to>
    <xdr:sp macro="" textlink="">
      <xdr:nvSpPr>
        <xdr:cNvPr id="163" name="TextBox 162">
          <a:extLst>
            <a:ext uri="{FF2B5EF4-FFF2-40B4-BE49-F238E27FC236}">
              <a16:creationId xmlns:a16="http://schemas.microsoft.com/office/drawing/2014/main" id="{2F7BAA91-7060-45CD-4733-F84C67A3BAB7}"/>
            </a:ext>
          </a:extLst>
        </xdr:cNvPr>
        <xdr:cNvSpPr txBox="1">
          <a:spLocks noChangeAspect="1"/>
        </xdr:cNvSpPr>
      </xdr:nvSpPr>
      <xdr:spPr>
        <a:xfrm>
          <a:off x="1911350" y="4403725"/>
          <a:ext cx="11747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00" b="1" baseline="0">
              <a:solidFill>
                <a:srgbClr val="C00000"/>
              </a:solidFill>
              <a:latin typeface="Times New Roman" panose="02020603050405020304" pitchFamily="18" charset="0"/>
              <a:cs typeface="Times New Roman" panose="02020603050405020304" pitchFamily="18" charset="0"/>
            </a:rPr>
            <a:t>Other Products</a:t>
          </a:r>
          <a:endParaRPr lang="en-NG" sz="100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101600</xdr:colOff>
      <xdr:row>24</xdr:row>
      <xdr:rowOff>6350</xdr:rowOff>
    </xdr:from>
    <xdr:to>
      <xdr:col>1</xdr:col>
      <xdr:colOff>222250</xdr:colOff>
      <xdr:row>24</xdr:row>
      <xdr:rowOff>127000</xdr:rowOff>
    </xdr:to>
    <xdr:sp macro="" textlink="">
      <xdr:nvSpPr>
        <xdr:cNvPr id="164" name="Oval 163">
          <a:extLst>
            <a:ext uri="{FF2B5EF4-FFF2-40B4-BE49-F238E27FC236}">
              <a16:creationId xmlns:a16="http://schemas.microsoft.com/office/drawing/2014/main" id="{FAFF0A79-AEA0-B124-10AB-2AC7414DC8FC}"/>
            </a:ext>
          </a:extLst>
        </xdr:cNvPr>
        <xdr:cNvSpPr>
          <a:spLocks noChangeAspect="1"/>
        </xdr:cNvSpPr>
      </xdr:nvSpPr>
      <xdr:spPr>
        <a:xfrm>
          <a:off x="171450" y="4425950"/>
          <a:ext cx="120650" cy="120650"/>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565150</xdr:colOff>
      <xdr:row>24</xdr:row>
      <xdr:rowOff>9525</xdr:rowOff>
    </xdr:from>
    <xdr:to>
      <xdr:col>4</xdr:col>
      <xdr:colOff>76200</xdr:colOff>
      <xdr:row>24</xdr:row>
      <xdr:rowOff>130175</xdr:rowOff>
    </xdr:to>
    <xdr:sp macro="" textlink="">
      <xdr:nvSpPr>
        <xdr:cNvPr id="165" name="Oval 164">
          <a:extLst>
            <a:ext uri="{FF2B5EF4-FFF2-40B4-BE49-F238E27FC236}">
              <a16:creationId xmlns:a16="http://schemas.microsoft.com/office/drawing/2014/main" id="{07D96863-ED3F-2F64-2595-AB170D0C06E1}"/>
            </a:ext>
          </a:extLst>
        </xdr:cNvPr>
        <xdr:cNvSpPr>
          <a:spLocks noChangeAspect="1"/>
        </xdr:cNvSpPr>
      </xdr:nvSpPr>
      <xdr:spPr>
        <a:xfrm>
          <a:off x="1854200" y="4429125"/>
          <a:ext cx="120650" cy="120650"/>
        </a:xfrm>
        <a:prstGeom prst="ellipse">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546100</xdr:colOff>
      <xdr:row>3</xdr:row>
      <xdr:rowOff>107950</xdr:rowOff>
    </xdr:from>
    <xdr:to>
      <xdr:col>7</xdr:col>
      <xdr:colOff>546100</xdr:colOff>
      <xdr:row>12</xdr:row>
      <xdr:rowOff>101600</xdr:rowOff>
    </xdr:to>
    <xdr:cxnSp macro="">
      <xdr:nvCxnSpPr>
        <xdr:cNvPr id="78" name="Straight Connector 77">
          <a:extLst>
            <a:ext uri="{FF2B5EF4-FFF2-40B4-BE49-F238E27FC236}">
              <a16:creationId xmlns:a16="http://schemas.microsoft.com/office/drawing/2014/main" id="{6274A588-5D78-8B9C-26A4-0CA59ED602D6}"/>
            </a:ext>
          </a:extLst>
        </xdr:cNvPr>
        <xdr:cNvCxnSpPr>
          <a:cxnSpLocks noChangeAspect="1"/>
        </xdr:cNvCxnSpPr>
      </xdr:nvCxnSpPr>
      <xdr:spPr>
        <a:xfrm>
          <a:off x="4273550" y="660400"/>
          <a:ext cx="0" cy="1651000"/>
        </a:xfrm>
        <a:prstGeom prst="line">
          <a:avLst/>
        </a:prstGeom>
        <a:ln w="25400">
          <a:solidFill>
            <a:schemeClr val="bg1">
              <a:lumMod val="8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88900</xdr:colOff>
      <xdr:row>3</xdr:row>
      <xdr:rowOff>69850</xdr:rowOff>
    </xdr:from>
    <xdr:to>
      <xdr:col>8</xdr:col>
      <xdr:colOff>63500</xdr:colOff>
      <xdr:row>13</xdr:row>
      <xdr:rowOff>25400</xdr:rowOff>
    </xdr:to>
    <xdr:grpSp>
      <xdr:nvGrpSpPr>
        <xdr:cNvPr id="98" name="Group 97">
          <a:extLst>
            <a:ext uri="{FF2B5EF4-FFF2-40B4-BE49-F238E27FC236}">
              <a16:creationId xmlns:a16="http://schemas.microsoft.com/office/drawing/2014/main" id="{52E893CA-052D-9295-3EF3-0016197A6FC0}"/>
            </a:ext>
          </a:extLst>
        </xdr:cNvPr>
        <xdr:cNvGrpSpPr>
          <a:grpSpLocks noChangeAspect="1"/>
        </xdr:cNvGrpSpPr>
      </xdr:nvGrpSpPr>
      <xdr:grpSpPr>
        <a:xfrm>
          <a:off x="2588368" y="617031"/>
          <a:ext cx="1798536" cy="1779486"/>
          <a:chOff x="2597150" y="622300"/>
          <a:chExt cx="1803400" cy="1797050"/>
        </a:xfrm>
      </xdr:grpSpPr>
      <xdr:grpSp>
        <xdr:nvGrpSpPr>
          <xdr:cNvPr id="83" name="Group 82">
            <a:extLst>
              <a:ext uri="{FF2B5EF4-FFF2-40B4-BE49-F238E27FC236}">
                <a16:creationId xmlns:a16="http://schemas.microsoft.com/office/drawing/2014/main" id="{C8100722-6224-BB45-19AD-77ABF33E9AD8}"/>
              </a:ext>
            </a:extLst>
          </xdr:cNvPr>
          <xdr:cNvGrpSpPr/>
        </xdr:nvGrpSpPr>
        <xdr:grpSpPr>
          <a:xfrm>
            <a:off x="2597150" y="1409700"/>
            <a:ext cx="1803400" cy="1009650"/>
            <a:chOff x="2889250" y="1016000"/>
            <a:chExt cx="1632363" cy="1314450"/>
          </a:xfrm>
        </xdr:grpSpPr>
        <xdr:graphicFrame macro="">
          <xdr:nvGraphicFramePr>
            <xdr:cNvPr id="49" name="Chart 48">
              <a:extLst>
                <a:ext uri="{FF2B5EF4-FFF2-40B4-BE49-F238E27FC236}">
                  <a16:creationId xmlns:a16="http://schemas.microsoft.com/office/drawing/2014/main" id="{21C2F50E-E3C1-4A23-8958-C68E8A99C0AE}"/>
                </a:ext>
              </a:extLst>
            </xdr:cNvPr>
            <xdr:cNvGraphicFramePr>
              <a:graphicFrameLocks/>
            </xdr:cNvGraphicFramePr>
          </xdr:nvGraphicFramePr>
          <xdr:xfrm>
            <a:off x="2889250" y="1016000"/>
            <a:ext cx="1632363" cy="1314450"/>
          </xdr:xfrm>
          <a:graphic>
            <a:graphicData uri="http://schemas.openxmlformats.org/drawingml/2006/chart">
              <c:chart xmlns:c="http://schemas.openxmlformats.org/drawingml/2006/chart" xmlns:r="http://schemas.openxmlformats.org/officeDocument/2006/relationships" r:id="rId17"/>
            </a:graphicData>
          </a:graphic>
        </xdr:graphicFrame>
        <xdr:sp macro="" textlink="Pivot_Tables_Performance!BA28">
          <xdr:nvSpPr>
            <xdr:cNvPr id="82" name="TextBox 81">
              <a:extLst>
                <a:ext uri="{FF2B5EF4-FFF2-40B4-BE49-F238E27FC236}">
                  <a16:creationId xmlns:a16="http://schemas.microsoft.com/office/drawing/2014/main" id="{4B629EF0-27B9-C35F-2C03-1F0C262F3B86}"/>
                </a:ext>
              </a:extLst>
            </xdr:cNvPr>
            <xdr:cNvSpPr txBox="1"/>
          </xdr:nvSpPr>
          <xdr:spPr>
            <a:xfrm>
              <a:off x="3340100" y="1524000"/>
              <a:ext cx="7175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5E56E4-112B-4327-A8BF-90D91E3679E2}" type="TxLink">
                <a:rPr lang="en-US" sz="1600" b="1" i="0" u="none" strike="noStrike">
                  <a:solidFill>
                    <a:srgbClr val="FABF8F"/>
                  </a:solidFill>
                  <a:latin typeface="Arial Black"/>
                </a:rPr>
                <a:pPr algn="ctr"/>
                <a:t>7%</a:t>
              </a:fld>
              <a:endParaRPr lang="en-NG" sz="1200"/>
            </a:p>
          </xdr:txBody>
        </xdr:sp>
      </xdr:grpSp>
      <xdr:sp macro="" textlink="Pivot_Tables_Performance!BB29">
        <xdr:nvSpPr>
          <xdr:cNvPr id="84" name="TextBox 83">
            <a:extLst>
              <a:ext uri="{FF2B5EF4-FFF2-40B4-BE49-F238E27FC236}">
                <a16:creationId xmlns:a16="http://schemas.microsoft.com/office/drawing/2014/main" id="{C8261859-C645-90AE-5153-6C5359459C87}"/>
              </a:ext>
            </a:extLst>
          </xdr:cNvPr>
          <xdr:cNvSpPr txBox="1"/>
        </xdr:nvSpPr>
        <xdr:spPr>
          <a:xfrm>
            <a:off x="3143250" y="622300"/>
            <a:ext cx="12573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1C6F907-E049-46BD-99D1-B690399A1057}" type="TxLink">
              <a:rPr lang="en-US" sz="700" b="1" i="0" u="none" strike="noStrike">
                <a:solidFill>
                  <a:srgbClr val="C00000"/>
                </a:solidFill>
                <a:latin typeface="Times New Roman"/>
                <a:cs typeface="Times New Roman"/>
              </a:rPr>
              <a:pPr algn="l"/>
              <a:t>Bevis Oval Conference Table, Walnut Performance Outcome</a:t>
            </a:fld>
            <a:endParaRPr lang="en-NG" sz="400" b="1">
              <a:solidFill>
                <a:srgbClr val="C00000"/>
              </a:solidFill>
              <a:latin typeface="Times New Roman" panose="02020603050405020304" pitchFamily="18" charset="0"/>
              <a:cs typeface="Times New Roman" panose="02020603050405020304" pitchFamily="18" charset="0"/>
            </a:endParaRPr>
          </a:p>
        </xdr:txBody>
      </xdr:sp>
      <xdr:grpSp>
        <xdr:nvGrpSpPr>
          <xdr:cNvPr id="92" name="Group 91">
            <a:extLst>
              <a:ext uri="{FF2B5EF4-FFF2-40B4-BE49-F238E27FC236}">
                <a16:creationId xmlns:a16="http://schemas.microsoft.com/office/drawing/2014/main" id="{D64B7031-763A-0B4B-4A11-351C7177CA20}"/>
              </a:ext>
            </a:extLst>
          </xdr:cNvPr>
          <xdr:cNvGrpSpPr/>
        </xdr:nvGrpSpPr>
        <xdr:grpSpPr>
          <a:xfrm>
            <a:off x="3136900" y="1003301"/>
            <a:ext cx="1257300" cy="609600"/>
            <a:chOff x="3136900" y="920210"/>
            <a:chExt cx="1257300" cy="635540"/>
          </a:xfrm>
        </xdr:grpSpPr>
        <xdr:sp macro="" textlink="">
          <xdr:nvSpPr>
            <xdr:cNvPr id="85" name="TextBox 84">
              <a:extLst>
                <a:ext uri="{FF2B5EF4-FFF2-40B4-BE49-F238E27FC236}">
                  <a16:creationId xmlns:a16="http://schemas.microsoft.com/office/drawing/2014/main" id="{E9124B33-BF6B-4225-A2DF-4D268431A81F}"/>
                </a:ext>
              </a:extLst>
            </xdr:cNvPr>
            <xdr:cNvSpPr txBox="1"/>
          </xdr:nvSpPr>
          <xdr:spPr>
            <a:xfrm>
              <a:off x="3136900" y="939800"/>
              <a:ext cx="1257300" cy="615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1" baseline="0">
                  <a:solidFill>
                    <a:srgbClr val="C00000"/>
                  </a:solidFill>
                </a:rPr>
                <a:t>Quantity Sold:</a:t>
              </a:r>
            </a:p>
            <a:p>
              <a:pPr algn="l"/>
              <a:r>
                <a:rPr lang="en-US" sz="900" b="1">
                  <a:solidFill>
                    <a:srgbClr val="C00000"/>
                  </a:solidFill>
                </a:rPr>
                <a:t>#Orders:</a:t>
              </a:r>
            </a:p>
            <a:p>
              <a:pPr algn="l"/>
              <a:r>
                <a:rPr lang="en-US" sz="900" b="1">
                  <a:solidFill>
                    <a:srgbClr val="C00000"/>
                  </a:solidFill>
                </a:rPr>
                <a:t>Discount:</a:t>
              </a:r>
              <a:endParaRPr lang="en-US" sz="1000" b="1">
                <a:solidFill>
                  <a:srgbClr val="C00000"/>
                </a:solidFill>
              </a:endParaRPr>
            </a:p>
          </xdr:txBody>
        </xdr:sp>
        <xdr:sp macro="" textlink="Pivot_Tables_Performance!BB32">
          <xdr:nvSpPr>
            <xdr:cNvPr id="88" name="TextBox 87">
              <a:extLst>
                <a:ext uri="{FF2B5EF4-FFF2-40B4-BE49-F238E27FC236}">
                  <a16:creationId xmlns:a16="http://schemas.microsoft.com/office/drawing/2014/main" id="{50BB0E9D-A806-AB4F-015B-1407717C8DC1}"/>
                </a:ext>
              </a:extLst>
            </xdr:cNvPr>
            <xdr:cNvSpPr txBox="1"/>
          </xdr:nvSpPr>
          <xdr:spPr>
            <a:xfrm>
              <a:off x="3848100" y="920210"/>
              <a:ext cx="311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9C8469-8BA1-4A01-ACE9-2CAD6326AE59}" type="TxLink">
                <a:rPr lang="en-US" sz="1000" b="0" i="0" u="none" strike="noStrike">
                  <a:solidFill>
                    <a:srgbClr val="8F112F"/>
                  </a:solidFill>
                  <a:latin typeface="Times New Roman"/>
                  <a:cs typeface="Times New Roman"/>
                </a:rPr>
                <a:pPr algn="ctr"/>
                <a:t>36</a:t>
              </a:fld>
              <a:endParaRPr lang="en-US" sz="1000" b="1" i="0" u="none" strike="noStrike">
                <a:solidFill>
                  <a:srgbClr val="C00000"/>
                </a:solidFill>
                <a:latin typeface="Times New Roman"/>
                <a:cs typeface="Times New Roman"/>
              </a:endParaRPr>
            </a:p>
          </xdr:txBody>
        </xdr:sp>
        <xdr:sp macro="" textlink="Pivot_Tables_Performance!BB30">
          <xdr:nvSpPr>
            <xdr:cNvPr id="89" name="TextBox 88">
              <a:extLst>
                <a:ext uri="{FF2B5EF4-FFF2-40B4-BE49-F238E27FC236}">
                  <a16:creationId xmlns:a16="http://schemas.microsoft.com/office/drawing/2014/main" id="{D803682F-F576-3654-14FA-1469889C3834}"/>
                </a:ext>
              </a:extLst>
            </xdr:cNvPr>
            <xdr:cNvSpPr txBox="1"/>
          </xdr:nvSpPr>
          <xdr:spPr>
            <a:xfrm>
              <a:off x="3594100" y="1217849"/>
              <a:ext cx="5397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5F1A90-2585-45EF-BF41-9703C11A84FB}" type="TxLink">
                <a:rPr lang="en-US" sz="1000" b="0" i="0" u="none" strike="noStrike">
                  <a:solidFill>
                    <a:srgbClr val="8F112F"/>
                  </a:solidFill>
                  <a:latin typeface="Times New Roman"/>
                  <a:cs typeface="Times New Roman"/>
                </a:rPr>
                <a:pPr algn="ctr"/>
                <a:t>220%</a:t>
              </a:fld>
              <a:endParaRPr lang="en-US" sz="1000" b="1" i="0" u="none" strike="noStrike">
                <a:solidFill>
                  <a:srgbClr val="C00000"/>
                </a:solidFill>
                <a:latin typeface="Times New Roman"/>
                <a:cs typeface="Times New Roman"/>
              </a:endParaRPr>
            </a:p>
          </xdr:txBody>
        </xdr:sp>
        <xdr:sp macro="" textlink="Pivot_Tables_Performance!BB31">
          <xdr:nvSpPr>
            <xdr:cNvPr id="91" name="TextBox 90">
              <a:extLst>
                <a:ext uri="{FF2B5EF4-FFF2-40B4-BE49-F238E27FC236}">
                  <a16:creationId xmlns:a16="http://schemas.microsoft.com/office/drawing/2014/main" id="{BF787FA8-F160-4D7C-2CB8-89F70CD03EBD}"/>
                </a:ext>
              </a:extLst>
            </xdr:cNvPr>
            <xdr:cNvSpPr txBox="1"/>
          </xdr:nvSpPr>
          <xdr:spPr>
            <a:xfrm>
              <a:off x="3562350" y="1098280"/>
              <a:ext cx="3175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D8B12D8-2EE8-4FAC-BD61-815F331ADE38}" type="TxLink">
                <a:rPr lang="en-US" sz="1000" b="0" i="0" u="none" strike="noStrike">
                  <a:solidFill>
                    <a:srgbClr val="8F112F"/>
                  </a:solidFill>
                  <a:latin typeface="Times New Roman"/>
                  <a:cs typeface="Times New Roman"/>
                </a:rPr>
                <a:pPr algn="ctr"/>
                <a:t>8</a:t>
              </a:fld>
              <a:endParaRPr lang="en-US" sz="1000" b="1" i="0" u="none" strike="noStrike">
                <a:solidFill>
                  <a:srgbClr val="C00000"/>
                </a:solidFill>
                <a:latin typeface="Times New Roman"/>
                <a:cs typeface="Times New Roman"/>
              </a:endParaRPr>
            </a:p>
          </xdr:txBody>
        </xdr:sp>
      </xdr:grpSp>
      <xdr:sp macro="" textlink="">
        <xdr:nvSpPr>
          <xdr:cNvPr id="94" name="TextBox 93">
            <a:extLst>
              <a:ext uri="{FF2B5EF4-FFF2-40B4-BE49-F238E27FC236}">
                <a16:creationId xmlns:a16="http://schemas.microsoft.com/office/drawing/2014/main" id="{A2935E12-3BD7-1C96-771A-49231C4B2075}"/>
              </a:ext>
            </a:extLst>
          </xdr:cNvPr>
          <xdr:cNvSpPr txBox="1"/>
        </xdr:nvSpPr>
        <xdr:spPr>
          <a:xfrm>
            <a:off x="3765550" y="2076450"/>
            <a:ext cx="5461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1">
                <a:solidFill>
                  <a:srgbClr val="C00000"/>
                </a:solidFill>
                <a:latin typeface="Times New Roman" panose="02020603050405020304" pitchFamily="18" charset="0"/>
                <a:cs typeface="Times New Roman" panose="02020603050405020304" pitchFamily="18" charset="0"/>
              </a:rPr>
              <a:t>Profit</a:t>
            </a:r>
            <a:endParaRPr lang="en-NG" sz="1050" b="1">
              <a:solidFill>
                <a:srgbClr val="C00000"/>
              </a:solidFill>
              <a:latin typeface="Times New Roman" panose="02020603050405020304" pitchFamily="18" charset="0"/>
              <a:cs typeface="Times New Roman" panose="02020603050405020304" pitchFamily="18" charset="0"/>
            </a:endParaRPr>
          </a:p>
        </xdr:txBody>
      </xdr:sp>
    </xdr:grpSp>
    <xdr:clientData/>
  </xdr:twoCellAnchor>
  <xdr:twoCellAnchor>
    <xdr:from>
      <xdr:col>7</xdr:col>
      <xdr:colOff>571500</xdr:colOff>
      <xdr:row>4</xdr:row>
      <xdr:rowOff>88900</xdr:rowOff>
    </xdr:from>
    <xdr:to>
      <xdr:col>12</xdr:col>
      <xdr:colOff>514350</xdr:colOff>
      <xdr:row>12</xdr:row>
      <xdr:rowOff>76200</xdr:rowOff>
    </xdr:to>
    <xdr:graphicFrame macro="">
      <xdr:nvGraphicFramePr>
        <xdr:cNvPr id="102" name="Chart 101">
          <a:extLst>
            <a:ext uri="{FF2B5EF4-FFF2-40B4-BE49-F238E27FC236}">
              <a16:creationId xmlns:a16="http://schemas.microsoft.com/office/drawing/2014/main" id="{47051761-6707-446E-B2A0-39B0AADA7DB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349250</xdr:colOff>
      <xdr:row>3</xdr:row>
      <xdr:rowOff>146050</xdr:rowOff>
    </xdr:from>
    <xdr:to>
      <xdr:col>11</xdr:col>
      <xdr:colOff>457200</xdr:colOff>
      <xdr:row>4</xdr:row>
      <xdr:rowOff>152400</xdr:rowOff>
    </xdr:to>
    <xdr:sp macro="" textlink="">
      <xdr:nvSpPr>
        <xdr:cNvPr id="118" name="TextBox 117">
          <a:extLst>
            <a:ext uri="{FF2B5EF4-FFF2-40B4-BE49-F238E27FC236}">
              <a16:creationId xmlns:a16="http://schemas.microsoft.com/office/drawing/2014/main" id="{5D0F6F68-6D2A-52EF-5821-325ADE982B9B}"/>
            </a:ext>
          </a:extLst>
        </xdr:cNvPr>
        <xdr:cNvSpPr txBox="1">
          <a:spLocks noChangeAspect="1"/>
        </xdr:cNvSpPr>
      </xdr:nvSpPr>
      <xdr:spPr>
        <a:xfrm>
          <a:off x="5295900" y="698500"/>
          <a:ext cx="13271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1">
              <a:solidFill>
                <a:srgbClr val="C00000"/>
              </a:solidFill>
              <a:latin typeface="Times New Roman" panose="02020603050405020304" pitchFamily="18" charset="0"/>
              <a:cs typeface="Times New Roman" panose="02020603050405020304" pitchFamily="18" charset="0"/>
            </a:rPr>
            <a:t>Profit</a:t>
          </a:r>
          <a:r>
            <a:rPr lang="en-GB" sz="1050" b="1" baseline="0">
              <a:solidFill>
                <a:srgbClr val="C00000"/>
              </a:solidFill>
              <a:latin typeface="Times New Roman" panose="02020603050405020304" pitchFamily="18" charset="0"/>
              <a:cs typeface="Times New Roman" panose="02020603050405020304" pitchFamily="18" charset="0"/>
            </a:rPr>
            <a:t> by Quarters</a:t>
          </a:r>
          <a:endParaRPr lang="en-NG" sz="105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84073</xdr:colOff>
      <xdr:row>15</xdr:row>
      <xdr:rowOff>130474</xdr:rowOff>
    </xdr:from>
    <xdr:to>
      <xdr:col>12</xdr:col>
      <xdr:colOff>224370</xdr:colOff>
      <xdr:row>26</xdr:row>
      <xdr:rowOff>125652</xdr:rowOff>
    </xdr:to>
    <xdr:grpSp>
      <xdr:nvGrpSpPr>
        <xdr:cNvPr id="188" name="BestChart" hidden="1">
          <a:extLst>
            <a:ext uri="{FF2B5EF4-FFF2-40B4-BE49-F238E27FC236}">
              <a16:creationId xmlns:a16="http://schemas.microsoft.com/office/drawing/2014/main" id="{86972EE0-494F-DE6B-D2BB-764D031BA21F}"/>
            </a:ext>
          </a:extLst>
        </xdr:cNvPr>
        <xdr:cNvGrpSpPr>
          <a:grpSpLocks noChangeAspect="1"/>
        </xdr:cNvGrpSpPr>
      </xdr:nvGrpSpPr>
      <xdr:grpSpPr>
        <a:xfrm>
          <a:off x="3191520" y="2866378"/>
          <a:ext cx="3788169" cy="2001508"/>
          <a:chOff x="3201923" y="2892724"/>
          <a:chExt cx="3797897" cy="2020828"/>
        </a:xfrm>
      </xdr:grpSpPr>
      <xdr:grpSp>
        <xdr:nvGrpSpPr>
          <xdr:cNvPr id="185" name="Group 184" hidden="1">
            <a:extLst>
              <a:ext uri="{FF2B5EF4-FFF2-40B4-BE49-F238E27FC236}">
                <a16:creationId xmlns:a16="http://schemas.microsoft.com/office/drawing/2014/main" id="{E04C448B-8670-EDDE-F19B-AD6F02EE6468}"/>
              </a:ext>
            </a:extLst>
          </xdr:cNvPr>
          <xdr:cNvGrpSpPr/>
        </xdr:nvGrpSpPr>
        <xdr:grpSpPr>
          <a:xfrm>
            <a:off x="3201923" y="2941927"/>
            <a:ext cx="407517" cy="1922423"/>
            <a:chOff x="3201923" y="2941927"/>
            <a:chExt cx="407517" cy="1922423"/>
          </a:xfrm>
        </xdr:grpSpPr>
        <xdr:sp macro="" textlink="">
          <xdr:nvSpPr>
            <xdr:cNvPr id="24" name="TextBox 23" hidden="1">
              <a:extLst>
                <a:ext uri="{FF2B5EF4-FFF2-40B4-BE49-F238E27FC236}">
                  <a16:creationId xmlns:a16="http://schemas.microsoft.com/office/drawing/2014/main" id="{9D1B7C59-843D-28E3-19B0-6DA9B1F5E27C}"/>
                </a:ext>
              </a:extLst>
            </xdr:cNvPr>
            <xdr:cNvSpPr txBox="1"/>
          </xdr:nvSpPr>
          <xdr:spPr>
            <a:xfrm>
              <a:off x="3201923" y="2941927"/>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1</a:t>
              </a:r>
              <a:endParaRPr lang="en-NG" sz="1100">
                <a:solidFill>
                  <a:schemeClr val="bg1"/>
                </a:solidFill>
                <a:latin typeface="Arial Black" panose="020B0A04020102020204" pitchFamily="34" charset="0"/>
              </a:endParaRPr>
            </a:p>
          </xdr:txBody>
        </xdr:sp>
        <xdr:sp macro="" textlink="">
          <xdr:nvSpPr>
            <xdr:cNvPr id="95" name="TextBox 94" hidden="1">
              <a:extLst>
                <a:ext uri="{FF2B5EF4-FFF2-40B4-BE49-F238E27FC236}">
                  <a16:creationId xmlns:a16="http://schemas.microsoft.com/office/drawing/2014/main" id="{6629B50F-8390-4E09-17C2-BBD327411042}"/>
                </a:ext>
              </a:extLst>
            </xdr:cNvPr>
            <xdr:cNvSpPr txBox="1"/>
          </xdr:nvSpPr>
          <xdr:spPr>
            <a:xfrm>
              <a:off x="3201923" y="3135984"/>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2</a:t>
              </a:r>
              <a:endParaRPr lang="en-NG" sz="1100">
                <a:solidFill>
                  <a:schemeClr val="bg1"/>
                </a:solidFill>
                <a:latin typeface="Arial Black" panose="020B0A04020102020204" pitchFamily="34" charset="0"/>
              </a:endParaRPr>
            </a:p>
          </xdr:txBody>
        </xdr:sp>
        <xdr:sp macro="" textlink="">
          <xdr:nvSpPr>
            <xdr:cNvPr id="99" name="TextBox 98" hidden="1">
              <a:extLst>
                <a:ext uri="{FF2B5EF4-FFF2-40B4-BE49-F238E27FC236}">
                  <a16:creationId xmlns:a16="http://schemas.microsoft.com/office/drawing/2014/main" id="{5D5F9F07-AA9E-8360-8F02-6E2A79235A05}"/>
                </a:ext>
              </a:extLst>
            </xdr:cNvPr>
            <xdr:cNvSpPr txBox="1"/>
          </xdr:nvSpPr>
          <xdr:spPr>
            <a:xfrm>
              <a:off x="3201923" y="4688445"/>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10</a:t>
              </a:r>
              <a:endParaRPr lang="en-NG" sz="1100">
                <a:solidFill>
                  <a:schemeClr val="bg1"/>
                </a:solidFill>
                <a:latin typeface="Arial Black" panose="020B0A04020102020204" pitchFamily="34" charset="0"/>
              </a:endParaRPr>
            </a:p>
          </xdr:txBody>
        </xdr:sp>
        <xdr:sp macro="" textlink="">
          <xdr:nvSpPr>
            <xdr:cNvPr id="103" name="TextBox 102" hidden="1">
              <a:extLst>
                <a:ext uri="{FF2B5EF4-FFF2-40B4-BE49-F238E27FC236}">
                  <a16:creationId xmlns:a16="http://schemas.microsoft.com/office/drawing/2014/main" id="{3B58C8B5-9616-CA50-02BB-9DEFD1009687}"/>
                </a:ext>
              </a:extLst>
            </xdr:cNvPr>
            <xdr:cNvSpPr txBox="1"/>
          </xdr:nvSpPr>
          <xdr:spPr>
            <a:xfrm>
              <a:off x="3201923" y="3330043"/>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3</a:t>
              </a:r>
              <a:endParaRPr lang="en-NG" sz="1100">
                <a:solidFill>
                  <a:schemeClr val="bg1"/>
                </a:solidFill>
                <a:latin typeface="Arial Black" panose="020B0A04020102020204" pitchFamily="34" charset="0"/>
              </a:endParaRPr>
            </a:p>
          </xdr:txBody>
        </xdr:sp>
        <xdr:sp macro="" textlink="">
          <xdr:nvSpPr>
            <xdr:cNvPr id="107" name="TextBox 106" hidden="1">
              <a:extLst>
                <a:ext uri="{FF2B5EF4-FFF2-40B4-BE49-F238E27FC236}">
                  <a16:creationId xmlns:a16="http://schemas.microsoft.com/office/drawing/2014/main" id="{7CC25381-219B-9FEF-FBCF-F1750DF1306A}"/>
                </a:ext>
              </a:extLst>
            </xdr:cNvPr>
            <xdr:cNvSpPr txBox="1"/>
          </xdr:nvSpPr>
          <xdr:spPr>
            <a:xfrm>
              <a:off x="3201923" y="4300331"/>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8</a:t>
              </a:r>
              <a:endParaRPr lang="en-NG" sz="1100">
                <a:solidFill>
                  <a:schemeClr val="bg1"/>
                </a:solidFill>
                <a:latin typeface="Arial Black" panose="020B0A04020102020204" pitchFamily="34" charset="0"/>
              </a:endParaRPr>
            </a:p>
          </xdr:txBody>
        </xdr:sp>
        <xdr:sp macro="" textlink="">
          <xdr:nvSpPr>
            <xdr:cNvPr id="111" name="TextBox 110" hidden="1">
              <a:extLst>
                <a:ext uri="{FF2B5EF4-FFF2-40B4-BE49-F238E27FC236}">
                  <a16:creationId xmlns:a16="http://schemas.microsoft.com/office/drawing/2014/main" id="{33A87723-873A-6F8A-CD25-59535FB1016D}"/>
                </a:ext>
              </a:extLst>
            </xdr:cNvPr>
            <xdr:cNvSpPr txBox="1"/>
          </xdr:nvSpPr>
          <xdr:spPr>
            <a:xfrm>
              <a:off x="3201923" y="3524100"/>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4</a:t>
              </a:r>
              <a:endParaRPr lang="en-NG" sz="1100">
                <a:solidFill>
                  <a:schemeClr val="bg1"/>
                </a:solidFill>
                <a:latin typeface="Arial Black" panose="020B0A04020102020204" pitchFamily="34" charset="0"/>
              </a:endParaRPr>
            </a:p>
          </xdr:txBody>
        </xdr:sp>
        <xdr:sp macro="" textlink="">
          <xdr:nvSpPr>
            <xdr:cNvPr id="115" name="TextBox 114" hidden="1">
              <a:extLst>
                <a:ext uri="{FF2B5EF4-FFF2-40B4-BE49-F238E27FC236}">
                  <a16:creationId xmlns:a16="http://schemas.microsoft.com/office/drawing/2014/main" id="{CCC8DEB6-9F30-4348-1B6D-2395B8DCCC5D}"/>
                </a:ext>
              </a:extLst>
            </xdr:cNvPr>
            <xdr:cNvSpPr txBox="1"/>
          </xdr:nvSpPr>
          <xdr:spPr>
            <a:xfrm>
              <a:off x="3201923" y="4106273"/>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7</a:t>
              </a:r>
              <a:endParaRPr lang="en-NG" sz="1100">
                <a:solidFill>
                  <a:schemeClr val="bg1"/>
                </a:solidFill>
                <a:latin typeface="Arial Black" panose="020B0A04020102020204" pitchFamily="34" charset="0"/>
              </a:endParaRPr>
            </a:p>
          </xdr:txBody>
        </xdr:sp>
        <xdr:sp macro="" textlink="">
          <xdr:nvSpPr>
            <xdr:cNvPr id="119" name="TextBox 118" hidden="1">
              <a:extLst>
                <a:ext uri="{FF2B5EF4-FFF2-40B4-BE49-F238E27FC236}">
                  <a16:creationId xmlns:a16="http://schemas.microsoft.com/office/drawing/2014/main" id="{2042165D-02DD-BEE4-674C-C44D4669F1C7}"/>
                </a:ext>
              </a:extLst>
            </xdr:cNvPr>
            <xdr:cNvSpPr txBox="1"/>
          </xdr:nvSpPr>
          <xdr:spPr>
            <a:xfrm>
              <a:off x="3201923" y="3718158"/>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5</a:t>
              </a:r>
              <a:endParaRPr lang="en-NG" sz="1100">
                <a:solidFill>
                  <a:schemeClr val="bg1"/>
                </a:solidFill>
                <a:latin typeface="Arial Black" panose="020B0A04020102020204" pitchFamily="34" charset="0"/>
              </a:endParaRPr>
            </a:p>
          </xdr:txBody>
        </xdr:sp>
        <xdr:sp macro="" textlink="">
          <xdr:nvSpPr>
            <xdr:cNvPr id="123" name="TextBox 122" hidden="1">
              <a:extLst>
                <a:ext uri="{FF2B5EF4-FFF2-40B4-BE49-F238E27FC236}">
                  <a16:creationId xmlns:a16="http://schemas.microsoft.com/office/drawing/2014/main" id="{303B38A4-1A35-4748-B3C0-F46AF3EEDE08}"/>
                </a:ext>
              </a:extLst>
            </xdr:cNvPr>
            <xdr:cNvSpPr txBox="1"/>
          </xdr:nvSpPr>
          <xdr:spPr>
            <a:xfrm>
              <a:off x="3201923" y="3912215"/>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6</a:t>
              </a:r>
              <a:endParaRPr lang="en-NG" sz="1100">
                <a:solidFill>
                  <a:schemeClr val="bg1"/>
                </a:solidFill>
                <a:latin typeface="Arial Black" panose="020B0A04020102020204" pitchFamily="34" charset="0"/>
              </a:endParaRPr>
            </a:p>
          </xdr:txBody>
        </xdr:sp>
        <xdr:sp macro="" textlink="">
          <xdr:nvSpPr>
            <xdr:cNvPr id="127" name="TextBox 126" hidden="1">
              <a:extLst>
                <a:ext uri="{FF2B5EF4-FFF2-40B4-BE49-F238E27FC236}">
                  <a16:creationId xmlns:a16="http://schemas.microsoft.com/office/drawing/2014/main" id="{7F085D90-0A33-4EEF-0C86-4877BF1C9B1D}"/>
                </a:ext>
              </a:extLst>
            </xdr:cNvPr>
            <xdr:cNvSpPr txBox="1"/>
          </xdr:nvSpPr>
          <xdr:spPr>
            <a:xfrm>
              <a:off x="3201923" y="4494388"/>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9</a:t>
              </a:r>
              <a:endParaRPr lang="en-NG" sz="1100">
                <a:solidFill>
                  <a:schemeClr val="bg1"/>
                </a:solidFill>
                <a:latin typeface="Arial Black" panose="020B0A04020102020204" pitchFamily="34" charset="0"/>
              </a:endParaRPr>
            </a:p>
          </xdr:txBody>
        </xdr:sp>
      </xdr:grpSp>
      <xdr:grpSp>
        <xdr:nvGrpSpPr>
          <xdr:cNvPr id="186" name="Group 185" hidden="1">
            <a:extLst>
              <a:ext uri="{FF2B5EF4-FFF2-40B4-BE49-F238E27FC236}">
                <a16:creationId xmlns:a16="http://schemas.microsoft.com/office/drawing/2014/main" id="{3BDDE869-4761-3EEA-6AF4-AAB7961B3BE0}"/>
              </a:ext>
            </a:extLst>
          </xdr:cNvPr>
          <xdr:cNvGrpSpPr/>
        </xdr:nvGrpSpPr>
        <xdr:grpSpPr>
          <a:xfrm>
            <a:off x="3589311" y="2941384"/>
            <a:ext cx="1380098" cy="1923508"/>
            <a:chOff x="3589311" y="2941384"/>
            <a:chExt cx="1380098" cy="1923508"/>
          </a:xfrm>
        </xdr:grpSpPr>
        <xdr:sp macro="" textlink="Pivot_Tables_Performance!$B$18">
          <xdr:nvSpPr>
            <xdr:cNvPr id="25" name="TextBox 24" hidden="1">
              <a:extLst>
                <a:ext uri="{FF2B5EF4-FFF2-40B4-BE49-F238E27FC236}">
                  <a16:creationId xmlns:a16="http://schemas.microsoft.com/office/drawing/2014/main" id="{21EF8E68-C0E2-4C90-8386-BFF33D0D5643}"/>
                </a:ext>
              </a:extLst>
            </xdr:cNvPr>
            <xdr:cNvSpPr txBox="1"/>
          </xdr:nvSpPr>
          <xdr:spPr>
            <a:xfrm>
              <a:off x="3589311" y="2941384"/>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9D542E8-A629-4BDA-BE88-9FD575780B47}" type="TxLink">
                <a:rPr lang="en-US" sz="1100" b="0" i="0" u="none" strike="noStrike">
                  <a:solidFill>
                    <a:schemeClr val="bg1"/>
                  </a:solidFill>
                  <a:latin typeface="Arial Black" panose="020B0A04020102020204" pitchFamily="34" charset="0"/>
                </a:rPr>
                <a:pPr algn="l"/>
                <a:t>New York City</a:t>
              </a:fld>
              <a:endParaRPr lang="en-NG" sz="1100">
                <a:solidFill>
                  <a:schemeClr val="bg1"/>
                </a:solidFill>
                <a:latin typeface="Arial Black" panose="020B0A04020102020204" pitchFamily="34" charset="0"/>
              </a:endParaRPr>
            </a:p>
          </xdr:txBody>
        </xdr:sp>
        <xdr:sp macro="" textlink="Pivot_Tables_Performance!$B$19">
          <xdr:nvSpPr>
            <xdr:cNvPr id="96" name="TextBox 95" hidden="1">
              <a:extLst>
                <a:ext uri="{FF2B5EF4-FFF2-40B4-BE49-F238E27FC236}">
                  <a16:creationId xmlns:a16="http://schemas.microsoft.com/office/drawing/2014/main" id="{B485FF1A-B6D2-6EBF-6CC8-0993C72E094A}"/>
                </a:ext>
              </a:extLst>
            </xdr:cNvPr>
            <xdr:cNvSpPr txBox="1"/>
          </xdr:nvSpPr>
          <xdr:spPr>
            <a:xfrm>
              <a:off x="3589311" y="3135551"/>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6DF21C7-09C9-431F-80E2-0B3FD2C616D1}" type="TxLink">
                <a:rPr lang="en-US" sz="1100" b="0" i="0" u="none" strike="noStrike">
                  <a:solidFill>
                    <a:schemeClr val="bg1"/>
                  </a:solidFill>
                  <a:latin typeface="Arial Black" panose="020B0A04020102020204" pitchFamily="34" charset="0"/>
                </a:rPr>
                <a:pPr algn="l"/>
                <a:t>Seattle</a:t>
              </a:fld>
              <a:endParaRPr lang="en-NG" sz="1100">
                <a:solidFill>
                  <a:schemeClr val="bg1"/>
                </a:solidFill>
                <a:latin typeface="Arial Black" panose="020B0A04020102020204" pitchFamily="34" charset="0"/>
              </a:endParaRPr>
            </a:p>
          </xdr:txBody>
        </xdr:sp>
        <xdr:sp macro="" textlink="Pivot_Tables_Performance!$B$27">
          <xdr:nvSpPr>
            <xdr:cNvPr id="100" name="TextBox 99" hidden="1">
              <a:extLst>
                <a:ext uri="{FF2B5EF4-FFF2-40B4-BE49-F238E27FC236}">
                  <a16:creationId xmlns:a16="http://schemas.microsoft.com/office/drawing/2014/main" id="{08847A18-169F-3126-4C4D-0276B53CA425}"/>
                </a:ext>
              </a:extLst>
            </xdr:cNvPr>
            <xdr:cNvSpPr txBox="1"/>
          </xdr:nvSpPr>
          <xdr:spPr>
            <a:xfrm>
              <a:off x="3589311" y="4688888"/>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148B1D8-5D9A-4D7A-9D59-890B59B7B950}" type="TxLink">
                <a:rPr lang="en-US" sz="1100" b="0" i="0" u="none" strike="noStrike">
                  <a:solidFill>
                    <a:schemeClr val="bg1"/>
                  </a:solidFill>
                  <a:latin typeface="Arial Black" panose="020B0A04020102020204" pitchFamily="34" charset="0"/>
                </a:rPr>
                <a:pPr algn="l"/>
                <a:t>Columbus</a:t>
              </a:fld>
              <a:endParaRPr lang="en-NG" sz="1100">
                <a:solidFill>
                  <a:schemeClr val="bg1"/>
                </a:solidFill>
                <a:latin typeface="Arial Black" panose="020B0A04020102020204" pitchFamily="34" charset="0"/>
              </a:endParaRPr>
            </a:p>
          </xdr:txBody>
        </xdr:sp>
        <xdr:sp macro="" textlink="Pivot_Tables_Performance!$B$20">
          <xdr:nvSpPr>
            <xdr:cNvPr id="104" name="TextBox 103" hidden="1">
              <a:extLst>
                <a:ext uri="{FF2B5EF4-FFF2-40B4-BE49-F238E27FC236}">
                  <a16:creationId xmlns:a16="http://schemas.microsoft.com/office/drawing/2014/main" id="{B59765EF-3568-C286-80EB-489343CBE195}"/>
                </a:ext>
              </a:extLst>
            </xdr:cNvPr>
            <xdr:cNvSpPr txBox="1"/>
          </xdr:nvSpPr>
          <xdr:spPr>
            <a:xfrm>
              <a:off x="3589311" y="3329718"/>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62F98B3-6A0A-4DD7-B35A-FF307A5E4D43}" type="TxLink">
                <a:rPr lang="en-US" sz="1100" b="0" i="0" u="none" strike="noStrike">
                  <a:solidFill>
                    <a:schemeClr val="bg1"/>
                  </a:solidFill>
                  <a:latin typeface="Arial Black" panose="020B0A04020102020204" pitchFamily="34" charset="0"/>
                </a:rPr>
                <a:pPr algn="l"/>
                <a:t>Los Angeles</a:t>
              </a:fld>
              <a:endParaRPr lang="en-NG" sz="1100">
                <a:solidFill>
                  <a:schemeClr val="bg1"/>
                </a:solidFill>
                <a:latin typeface="Arial Black" panose="020B0A04020102020204" pitchFamily="34" charset="0"/>
              </a:endParaRPr>
            </a:p>
          </xdr:txBody>
        </xdr:sp>
        <xdr:sp macro="" textlink="Pivot_Tables_Performance!$B$25">
          <xdr:nvSpPr>
            <xdr:cNvPr id="108" name="TextBox 107" hidden="1">
              <a:extLst>
                <a:ext uri="{FF2B5EF4-FFF2-40B4-BE49-F238E27FC236}">
                  <a16:creationId xmlns:a16="http://schemas.microsoft.com/office/drawing/2014/main" id="{F031E3C2-8BC1-0A1C-F087-EA495D93A486}"/>
                </a:ext>
              </a:extLst>
            </xdr:cNvPr>
            <xdr:cNvSpPr txBox="1"/>
          </xdr:nvSpPr>
          <xdr:spPr>
            <a:xfrm>
              <a:off x="3589311" y="4300554"/>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F2907E-7B6C-41A5-BDFC-DFBB5B9DAD27}" type="TxLink">
                <a:rPr lang="en-US" sz="1100" b="0" i="0" u="none" strike="noStrike">
                  <a:solidFill>
                    <a:schemeClr val="bg1"/>
                  </a:solidFill>
                  <a:latin typeface="Arial Black" panose="020B0A04020102020204" pitchFamily="34" charset="0"/>
                </a:rPr>
                <a:pPr algn="l"/>
                <a:t>Jackson</a:t>
              </a:fld>
              <a:endParaRPr lang="en-NG" sz="1100">
                <a:solidFill>
                  <a:schemeClr val="bg1"/>
                </a:solidFill>
                <a:latin typeface="Arial Black" panose="020B0A04020102020204" pitchFamily="34" charset="0"/>
              </a:endParaRPr>
            </a:p>
          </xdr:txBody>
        </xdr:sp>
        <xdr:sp macro="" textlink="Pivot_Tables_Performance!$B$21">
          <xdr:nvSpPr>
            <xdr:cNvPr id="112" name="TextBox 111" hidden="1">
              <a:extLst>
                <a:ext uri="{FF2B5EF4-FFF2-40B4-BE49-F238E27FC236}">
                  <a16:creationId xmlns:a16="http://schemas.microsoft.com/office/drawing/2014/main" id="{7A7AFB20-0F70-CF82-52B0-AC9983ED38F2}"/>
                </a:ext>
              </a:extLst>
            </xdr:cNvPr>
            <xdr:cNvSpPr txBox="1"/>
          </xdr:nvSpPr>
          <xdr:spPr>
            <a:xfrm>
              <a:off x="3589311" y="3523886"/>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0739B3E-F0D7-4F41-ADB4-36042EB33904}" type="TxLink">
                <a:rPr lang="en-US" sz="1100" b="0" i="0" u="none" strike="noStrike">
                  <a:solidFill>
                    <a:schemeClr val="bg1"/>
                  </a:solidFill>
                  <a:latin typeface="Arial Black" panose="020B0A04020102020204" pitchFamily="34" charset="0"/>
                </a:rPr>
                <a:pPr algn="l"/>
                <a:t>Detroit</a:t>
              </a:fld>
              <a:endParaRPr lang="en-NG" sz="1100">
                <a:solidFill>
                  <a:schemeClr val="bg1"/>
                </a:solidFill>
                <a:latin typeface="Arial Black" panose="020B0A04020102020204" pitchFamily="34" charset="0"/>
              </a:endParaRPr>
            </a:p>
          </xdr:txBody>
        </xdr:sp>
        <xdr:sp macro="" textlink="Pivot_Tables_Performance!$B$24">
          <xdr:nvSpPr>
            <xdr:cNvPr id="116" name="TextBox 115" hidden="1">
              <a:extLst>
                <a:ext uri="{FF2B5EF4-FFF2-40B4-BE49-F238E27FC236}">
                  <a16:creationId xmlns:a16="http://schemas.microsoft.com/office/drawing/2014/main" id="{9AF64241-9783-F4D1-F598-D4AB9F1B8A69}"/>
                </a:ext>
              </a:extLst>
            </xdr:cNvPr>
            <xdr:cNvSpPr txBox="1"/>
          </xdr:nvSpPr>
          <xdr:spPr>
            <a:xfrm>
              <a:off x="3589311" y="4106387"/>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E8CB27A-E327-4E5F-B25B-546335DA102A}" type="TxLink">
                <a:rPr lang="en-US" sz="1100" b="0" i="0" u="none" strike="noStrike">
                  <a:solidFill>
                    <a:schemeClr val="bg1"/>
                  </a:solidFill>
                  <a:latin typeface="Arial Black" panose="020B0A04020102020204" pitchFamily="34" charset="0"/>
                </a:rPr>
                <a:pPr algn="l"/>
                <a:t>Springfield</a:t>
              </a:fld>
              <a:endParaRPr lang="en-NG" sz="1100">
                <a:solidFill>
                  <a:schemeClr val="bg1"/>
                </a:solidFill>
                <a:latin typeface="Arial Black" panose="020B0A04020102020204" pitchFamily="34" charset="0"/>
              </a:endParaRPr>
            </a:p>
          </xdr:txBody>
        </xdr:sp>
        <xdr:sp macro="" textlink="Pivot_Tables_Performance!$B$22">
          <xdr:nvSpPr>
            <xdr:cNvPr id="120" name="TextBox 119" hidden="1">
              <a:extLst>
                <a:ext uri="{FF2B5EF4-FFF2-40B4-BE49-F238E27FC236}">
                  <a16:creationId xmlns:a16="http://schemas.microsoft.com/office/drawing/2014/main" id="{B54BFDCD-7FC3-DA11-62B4-A998A46B9612}"/>
                </a:ext>
              </a:extLst>
            </xdr:cNvPr>
            <xdr:cNvSpPr txBox="1"/>
          </xdr:nvSpPr>
          <xdr:spPr>
            <a:xfrm>
              <a:off x="3589311" y="3718053"/>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ACFCF5-E312-4774-BACE-29F36169F467}" type="TxLink">
                <a:rPr lang="en-US" sz="1100" b="0" i="0" u="none" strike="noStrike">
                  <a:solidFill>
                    <a:schemeClr val="bg1"/>
                  </a:solidFill>
                  <a:latin typeface="Arial Black" panose="020B0A04020102020204" pitchFamily="34" charset="0"/>
                </a:rPr>
                <a:pPr algn="l"/>
                <a:t>San Francisco</a:t>
              </a:fld>
              <a:endParaRPr lang="en-NG" sz="1100">
                <a:solidFill>
                  <a:schemeClr val="bg1"/>
                </a:solidFill>
                <a:latin typeface="Arial Black" panose="020B0A04020102020204" pitchFamily="34" charset="0"/>
              </a:endParaRPr>
            </a:p>
          </xdr:txBody>
        </xdr:sp>
        <xdr:sp macro="" textlink="Pivot_Tables_Performance!$B$23">
          <xdr:nvSpPr>
            <xdr:cNvPr id="124" name="TextBox 123" hidden="1">
              <a:extLst>
                <a:ext uri="{FF2B5EF4-FFF2-40B4-BE49-F238E27FC236}">
                  <a16:creationId xmlns:a16="http://schemas.microsoft.com/office/drawing/2014/main" id="{5DB5C3C8-26F6-3906-204B-4CE160C8D34B}"/>
                </a:ext>
              </a:extLst>
            </xdr:cNvPr>
            <xdr:cNvSpPr txBox="1"/>
          </xdr:nvSpPr>
          <xdr:spPr>
            <a:xfrm>
              <a:off x="3589311" y="3912220"/>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B1592CE-6BC0-46DF-84CE-A87C8C78D31F}" type="TxLink">
                <a:rPr lang="en-US" sz="1100" b="0" i="0" u="none" strike="noStrike">
                  <a:solidFill>
                    <a:schemeClr val="bg1"/>
                  </a:solidFill>
                  <a:latin typeface="Arial Black" panose="020B0A04020102020204" pitchFamily="34" charset="0"/>
                </a:rPr>
                <a:pPr algn="l"/>
                <a:t>Henderson</a:t>
              </a:fld>
              <a:endParaRPr lang="en-NG" sz="1100">
                <a:solidFill>
                  <a:schemeClr val="bg1"/>
                </a:solidFill>
                <a:latin typeface="Arial Black" panose="020B0A04020102020204" pitchFamily="34" charset="0"/>
              </a:endParaRPr>
            </a:p>
          </xdr:txBody>
        </xdr:sp>
        <xdr:sp macro="" textlink="Pivot_Tables_Performance!$B$26">
          <xdr:nvSpPr>
            <xdr:cNvPr id="128" name="TextBox 127" hidden="1">
              <a:extLst>
                <a:ext uri="{FF2B5EF4-FFF2-40B4-BE49-F238E27FC236}">
                  <a16:creationId xmlns:a16="http://schemas.microsoft.com/office/drawing/2014/main" id="{55E6A4D4-C348-9DA9-F93B-AD0BE9DBE36C}"/>
                </a:ext>
              </a:extLst>
            </xdr:cNvPr>
            <xdr:cNvSpPr txBox="1"/>
          </xdr:nvSpPr>
          <xdr:spPr>
            <a:xfrm>
              <a:off x="3589311" y="4494722"/>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D7F4AD0-5A2C-4DF9-BB48-C4F692A811DD}" type="TxLink">
                <a:rPr lang="en-US" sz="1100" b="0" i="0" u="none" strike="noStrike">
                  <a:solidFill>
                    <a:schemeClr val="bg1"/>
                  </a:solidFill>
                  <a:latin typeface="Arial Black" panose="020B0A04020102020204" pitchFamily="34" charset="0"/>
                </a:rPr>
                <a:pPr algn="l"/>
                <a:t>Columbia</a:t>
              </a:fld>
              <a:endParaRPr lang="en-NG" sz="1100">
                <a:solidFill>
                  <a:schemeClr val="bg1"/>
                </a:solidFill>
                <a:latin typeface="Arial Black" panose="020B0A04020102020204" pitchFamily="34" charset="0"/>
              </a:endParaRPr>
            </a:p>
          </xdr:txBody>
        </xdr:sp>
      </xdr:grpSp>
      <xdr:grpSp>
        <xdr:nvGrpSpPr>
          <xdr:cNvPr id="187" name="Group 186" hidden="1">
            <a:extLst>
              <a:ext uri="{FF2B5EF4-FFF2-40B4-BE49-F238E27FC236}">
                <a16:creationId xmlns:a16="http://schemas.microsoft.com/office/drawing/2014/main" id="{A7D8271D-ACE4-C864-4021-BA8B9808606B}"/>
              </a:ext>
            </a:extLst>
          </xdr:cNvPr>
          <xdr:cNvGrpSpPr/>
        </xdr:nvGrpSpPr>
        <xdr:grpSpPr>
          <a:xfrm>
            <a:off x="4949283" y="2940841"/>
            <a:ext cx="838143" cy="1924594"/>
            <a:chOff x="4949283" y="2940841"/>
            <a:chExt cx="838143" cy="1924594"/>
          </a:xfrm>
        </xdr:grpSpPr>
        <xdr:sp macro="" textlink="Pivot_Tables_Performance!$C$18">
          <xdr:nvSpPr>
            <xdr:cNvPr id="30" name="TextBox 29" hidden="1">
              <a:extLst>
                <a:ext uri="{FF2B5EF4-FFF2-40B4-BE49-F238E27FC236}">
                  <a16:creationId xmlns:a16="http://schemas.microsoft.com/office/drawing/2014/main" id="{279C0E75-2DAB-988F-39CA-6E8E2F9B4F4F}"/>
                </a:ext>
              </a:extLst>
            </xdr:cNvPr>
            <xdr:cNvSpPr txBox="1"/>
          </xdr:nvSpPr>
          <xdr:spPr>
            <a:xfrm>
              <a:off x="4949283" y="2940841"/>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8EE01E5-F2DD-463C-A75F-A4F67AFE582D}" type="TxLink">
                <a:rPr lang="en-US" sz="1100" b="0" i="0" u="none" strike="noStrike">
                  <a:solidFill>
                    <a:schemeClr val="bg1"/>
                  </a:solidFill>
                  <a:latin typeface="Arial Black" panose="020B0A04020102020204" pitchFamily="34" charset="0"/>
                </a:rPr>
                <a:pPr algn="l"/>
                <a:t>9,273</a:t>
              </a:fld>
              <a:endParaRPr lang="en-NG" sz="1100">
                <a:solidFill>
                  <a:schemeClr val="bg1"/>
                </a:solidFill>
                <a:latin typeface="Arial Black" panose="020B0A04020102020204" pitchFamily="34" charset="0"/>
              </a:endParaRPr>
            </a:p>
          </xdr:txBody>
        </xdr:sp>
        <xdr:sp macro="" textlink="Pivot_Tables_Performance!$C$19">
          <xdr:nvSpPr>
            <xdr:cNvPr id="97" name="TextBox 96" hidden="1">
              <a:extLst>
                <a:ext uri="{FF2B5EF4-FFF2-40B4-BE49-F238E27FC236}">
                  <a16:creationId xmlns:a16="http://schemas.microsoft.com/office/drawing/2014/main" id="{6C43874E-2B97-6FC2-DEBA-F52058E5C8E3}"/>
                </a:ext>
              </a:extLst>
            </xdr:cNvPr>
            <xdr:cNvSpPr txBox="1"/>
          </xdr:nvSpPr>
          <xdr:spPr>
            <a:xfrm>
              <a:off x="4949283" y="3135118"/>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702F51D-11AB-470D-82B1-4686E3A02ACA}" type="TxLink">
                <a:rPr lang="en-US" sz="1100" b="0" i="0" u="none" strike="noStrike">
                  <a:solidFill>
                    <a:schemeClr val="bg1"/>
                  </a:solidFill>
                  <a:latin typeface="Arial Black" panose="020B0A04020102020204" pitchFamily="34" charset="0"/>
                </a:rPr>
                <a:pPr algn="l"/>
                <a:t>6,500</a:t>
              </a:fld>
              <a:endParaRPr lang="en-NG" sz="1100">
                <a:solidFill>
                  <a:schemeClr val="bg1"/>
                </a:solidFill>
                <a:latin typeface="Arial Black" panose="020B0A04020102020204" pitchFamily="34" charset="0"/>
              </a:endParaRPr>
            </a:p>
          </xdr:txBody>
        </xdr:sp>
        <xdr:sp macro="" textlink="Pivot_Tables_Performance!$C$27">
          <xdr:nvSpPr>
            <xdr:cNvPr id="101" name="TextBox 100" hidden="1">
              <a:extLst>
                <a:ext uri="{FF2B5EF4-FFF2-40B4-BE49-F238E27FC236}">
                  <a16:creationId xmlns:a16="http://schemas.microsoft.com/office/drawing/2014/main" id="{891D833D-71B7-651D-3C8C-6D8264424540}"/>
                </a:ext>
              </a:extLst>
            </xdr:cNvPr>
            <xdr:cNvSpPr txBox="1"/>
          </xdr:nvSpPr>
          <xdr:spPr>
            <a:xfrm>
              <a:off x="4949283" y="4689332"/>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EF875FF-D1CC-4792-A210-85B1B3A81930}" type="TxLink">
                <a:rPr lang="en-US" sz="1100" b="0" i="0" u="none" strike="noStrike">
                  <a:solidFill>
                    <a:schemeClr val="bg1"/>
                  </a:solidFill>
                  <a:latin typeface="Arial Black" panose="020B0A04020102020204" pitchFamily="34" charset="0"/>
                </a:rPr>
                <a:pPr algn="l"/>
                <a:t>1,438</a:t>
              </a:fld>
              <a:endParaRPr lang="en-NG" sz="1100">
                <a:solidFill>
                  <a:schemeClr val="bg1"/>
                </a:solidFill>
                <a:latin typeface="Arial Black" panose="020B0A04020102020204" pitchFamily="34" charset="0"/>
              </a:endParaRPr>
            </a:p>
          </xdr:txBody>
        </xdr:sp>
        <xdr:sp macro="" textlink="Pivot_Tables_Performance!$C$20">
          <xdr:nvSpPr>
            <xdr:cNvPr id="105" name="TextBox 104" hidden="1">
              <a:extLst>
                <a:ext uri="{FF2B5EF4-FFF2-40B4-BE49-F238E27FC236}">
                  <a16:creationId xmlns:a16="http://schemas.microsoft.com/office/drawing/2014/main" id="{4217FBFC-F356-ECD7-4F38-145A313D3758}"/>
                </a:ext>
              </a:extLst>
            </xdr:cNvPr>
            <xdr:cNvSpPr txBox="1"/>
          </xdr:nvSpPr>
          <xdr:spPr>
            <a:xfrm>
              <a:off x="4949283" y="3329395"/>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32EC4AD-B1B4-4A2A-B049-6C6B1D486806}" type="TxLink">
                <a:rPr lang="en-US" sz="1100" b="0" i="0" u="none" strike="noStrike">
                  <a:solidFill>
                    <a:schemeClr val="bg1"/>
                  </a:solidFill>
                  <a:latin typeface="Arial Black" panose="020B0A04020102020204" pitchFamily="34" charset="0"/>
                </a:rPr>
                <a:pPr algn="l"/>
                <a:t>4,142</a:t>
              </a:fld>
              <a:endParaRPr lang="en-NG" sz="1100">
                <a:solidFill>
                  <a:schemeClr val="bg1"/>
                </a:solidFill>
                <a:latin typeface="Arial Black" panose="020B0A04020102020204" pitchFamily="34" charset="0"/>
              </a:endParaRPr>
            </a:p>
          </xdr:txBody>
        </xdr:sp>
        <xdr:sp macro="" textlink="Pivot_Tables_Performance!$C$25">
          <xdr:nvSpPr>
            <xdr:cNvPr id="109" name="TextBox 108" hidden="1">
              <a:extLst>
                <a:ext uri="{FF2B5EF4-FFF2-40B4-BE49-F238E27FC236}">
                  <a16:creationId xmlns:a16="http://schemas.microsoft.com/office/drawing/2014/main" id="{24AC1F98-E575-34FD-126C-206BBBE639A8}"/>
                </a:ext>
              </a:extLst>
            </xdr:cNvPr>
            <xdr:cNvSpPr txBox="1"/>
          </xdr:nvSpPr>
          <xdr:spPr>
            <a:xfrm>
              <a:off x="4949283" y="4300779"/>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FCE0F0F-4898-45B8-9F20-9CC19447B89E}" type="TxLink">
                <a:rPr lang="en-US" sz="1100" b="0" i="0" u="none" strike="noStrike">
                  <a:solidFill>
                    <a:schemeClr val="bg1"/>
                  </a:solidFill>
                  <a:latin typeface="Arial Black" panose="020B0A04020102020204" pitchFamily="34" charset="0"/>
                </a:rPr>
                <a:pPr algn="l"/>
                <a:t>1,516</a:t>
              </a:fld>
              <a:endParaRPr lang="en-NG" sz="1100">
                <a:solidFill>
                  <a:schemeClr val="bg1"/>
                </a:solidFill>
                <a:latin typeface="Arial Black" panose="020B0A04020102020204" pitchFamily="34" charset="0"/>
              </a:endParaRPr>
            </a:p>
          </xdr:txBody>
        </xdr:sp>
        <xdr:sp macro="" textlink="Pivot_Tables_Performance!$C$21">
          <xdr:nvSpPr>
            <xdr:cNvPr id="113" name="TextBox 112" hidden="1">
              <a:extLst>
                <a:ext uri="{FF2B5EF4-FFF2-40B4-BE49-F238E27FC236}">
                  <a16:creationId xmlns:a16="http://schemas.microsoft.com/office/drawing/2014/main" id="{0086EA56-474C-C14E-92FB-2AC12F9D1EE4}"/>
                </a:ext>
              </a:extLst>
            </xdr:cNvPr>
            <xdr:cNvSpPr txBox="1"/>
          </xdr:nvSpPr>
          <xdr:spPr>
            <a:xfrm>
              <a:off x="4949283" y="3523671"/>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61D62DC-21A9-4B9B-B9AA-5161F41E4A2A}" type="TxLink">
                <a:rPr lang="en-US" sz="1100" b="0" i="0" u="none" strike="noStrike">
                  <a:solidFill>
                    <a:schemeClr val="bg1"/>
                  </a:solidFill>
                  <a:latin typeface="Arial Black" panose="020B0A04020102020204" pitchFamily="34" charset="0"/>
                </a:rPr>
                <a:pPr algn="l"/>
                <a:t>3,333</a:t>
              </a:fld>
              <a:endParaRPr lang="en-NG" sz="1100">
                <a:solidFill>
                  <a:schemeClr val="bg1"/>
                </a:solidFill>
                <a:latin typeface="Arial Black" panose="020B0A04020102020204" pitchFamily="34" charset="0"/>
              </a:endParaRPr>
            </a:p>
          </xdr:txBody>
        </xdr:sp>
        <xdr:sp macro="" textlink="Pivot_Tables_Performance!$C$24">
          <xdr:nvSpPr>
            <xdr:cNvPr id="117" name="TextBox 116" hidden="1">
              <a:extLst>
                <a:ext uri="{FF2B5EF4-FFF2-40B4-BE49-F238E27FC236}">
                  <a16:creationId xmlns:a16="http://schemas.microsoft.com/office/drawing/2014/main" id="{40B43ED0-AF3D-1E75-0F51-7DEA044533AB}"/>
                </a:ext>
              </a:extLst>
            </xdr:cNvPr>
            <xdr:cNvSpPr txBox="1"/>
          </xdr:nvSpPr>
          <xdr:spPr>
            <a:xfrm>
              <a:off x="4949283" y="4106502"/>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80A6E79-F642-49DF-8F51-7DE6A211D29B}" type="TxLink">
                <a:rPr lang="en-US" sz="1100" b="0" i="0" u="none" strike="noStrike">
                  <a:solidFill>
                    <a:schemeClr val="bg1"/>
                  </a:solidFill>
                  <a:latin typeface="Arial Black" panose="020B0A04020102020204" pitchFamily="34" charset="0"/>
                </a:rPr>
                <a:pPr algn="l"/>
                <a:t>1,950</a:t>
              </a:fld>
              <a:endParaRPr lang="en-NG" sz="1100">
                <a:solidFill>
                  <a:schemeClr val="bg1"/>
                </a:solidFill>
                <a:latin typeface="Arial Black" panose="020B0A04020102020204" pitchFamily="34" charset="0"/>
              </a:endParaRPr>
            </a:p>
          </xdr:txBody>
        </xdr:sp>
        <xdr:sp macro="" textlink="Pivot_Tables_Performance!$C$22">
          <xdr:nvSpPr>
            <xdr:cNvPr id="121" name="TextBox 120" hidden="1">
              <a:extLst>
                <a:ext uri="{FF2B5EF4-FFF2-40B4-BE49-F238E27FC236}">
                  <a16:creationId xmlns:a16="http://schemas.microsoft.com/office/drawing/2014/main" id="{BAC51253-AB9D-5156-6A46-B5D149DFFACC}"/>
                </a:ext>
              </a:extLst>
            </xdr:cNvPr>
            <xdr:cNvSpPr txBox="1"/>
          </xdr:nvSpPr>
          <xdr:spPr>
            <a:xfrm>
              <a:off x="4949283" y="3717948"/>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A2D3ABA-DF77-4287-B460-9372ABFF85E2}" type="TxLink">
                <a:rPr lang="en-US" sz="1100" b="0" i="0" u="none" strike="noStrike">
                  <a:solidFill>
                    <a:schemeClr val="bg1"/>
                  </a:solidFill>
                  <a:latin typeface="Arial Black" panose="020B0A04020102020204" pitchFamily="34" charset="0"/>
                </a:rPr>
                <a:pPr algn="l"/>
                <a:t>2,679</a:t>
              </a:fld>
              <a:endParaRPr lang="en-NG" sz="1100">
                <a:solidFill>
                  <a:schemeClr val="bg1"/>
                </a:solidFill>
                <a:latin typeface="Arial Black" panose="020B0A04020102020204" pitchFamily="34" charset="0"/>
              </a:endParaRPr>
            </a:p>
          </xdr:txBody>
        </xdr:sp>
        <xdr:sp macro="" textlink="Pivot_Tables_Performance!$C$23">
          <xdr:nvSpPr>
            <xdr:cNvPr id="125" name="TextBox 124" hidden="1">
              <a:extLst>
                <a:ext uri="{FF2B5EF4-FFF2-40B4-BE49-F238E27FC236}">
                  <a16:creationId xmlns:a16="http://schemas.microsoft.com/office/drawing/2014/main" id="{7A6861AC-60E2-8438-02EA-C73205244231}"/>
                </a:ext>
              </a:extLst>
            </xdr:cNvPr>
            <xdr:cNvSpPr txBox="1"/>
          </xdr:nvSpPr>
          <xdr:spPr>
            <a:xfrm>
              <a:off x="4949283" y="3912225"/>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531FA58-A792-4498-8C95-B0B48CCB6F1D}" type="TxLink">
                <a:rPr lang="en-US" sz="1100" b="0" i="0" u="none" strike="noStrike">
                  <a:solidFill>
                    <a:schemeClr val="bg1"/>
                  </a:solidFill>
                  <a:latin typeface="Arial Black" panose="020B0A04020102020204" pitchFamily="34" charset="0"/>
                </a:rPr>
                <a:pPr algn="l"/>
                <a:t>2,240</a:t>
              </a:fld>
              <a:endParaRPr lang="en-NG" sz="1100">
                <a:solidFill>
                  <a:schemeClr val="bg1"/>
                </a:solidFill>
                <a:latin typeface="Arial Black" panose="020B0A04020102020204" pitchFamily="34" charset="0"/>
              </a:endParaRPr>
            </a:p>
          </xdr:txBody>
        </xdr:sp>
        <xdr:sp macro="" textlink="Pivot_Tables_Performance!$C$26">
          <xdr:nvSpPr>
            <xdr:cNvPr id="129" name="TextBox 128" hidden="1">
              <a:extLst>
                <a:ext uri="{FF2B5EF4-FFF2-40B4-BE49-F238E27FC236}">
                  <a16:creationId xmlns:a16="http://schemas.microsoft.com/office/drawing/2014/main" id="{46CE9547-4ECA-FD9D-3773-7974377A60D6}"/>
                </a:ext>
              </a:extLst>
            </xdr:cNvPr>
            <xdr:cNvSpPr txBox="1"/>
          </xdr:nvSpPr>
          <xdr:spPr>
            <a:xfrm>
              <a:off x="4949283" y="4495055"/>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D95079D-E07B-41B4-B85C-94C1897CF68C}" type="TxLink">
                <a:rPr lang="en-US" sz="1100" b="0" i="0" u="none" strike="noStrike">
                  <a:solidFill>
                    <a:schemeClr val="bg1"/>
                  </a:solidFill>
                  <a:latin typeface="Arial Black" panose="020B0A04020102020204" pitchFamily="34" charset="0"/>
                </a:rPr>
                <a:pPr algn="l"/>
                <a:t>1,467</a:t>
              </a:fld>
              <a:endParaRPr lang="en-NG" sz="1100">
                <a:solidFill>
                  <a:schemeClr val="bg1"/>
                </a:solidFill>
                <a:latin typeface="Arial Black" panose="020B0A04020102020204" pitchFamily="34" charset="0"/>
              </a:endParaRPr>
            </a:p>
          </xdr:txBody>
        </xdr:sp>
      </xdr:grpSp>
      <xdr:graphicFrame macro="">
        <xdr:nvGraphicFramePr>
          <xdr:cNvPr id="19" name="Chart 18" hidden="1">
            <a:extLst>
              <a:ext uri="{FF2B5EF4-FFF2-40B4-BE49-F238E27FC236}">
                <a16:creationId xmlns:a16="http://schemas.microsoft.com/office/drawing/2014/main" id="{C8BE8D96-A2CD-40C6-A8D9-6974A547D9A9}"/>
              </a:ext>
            </a:extLst>
          </xdr:cNvPr>
          <xdr:cNvGraphicFramePr>
            <a:graphicFrameLocks/>
          </xdr:cNvGraphicFramePr>
        </xdr:nvGraphicFramePr>
        <xdr:xfrm>
          <a:off x="5767299" y="2892724"/>
          <a:ext cx="1232521" cy="2020828"/>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6</xdr:col>
      <xdr:colOff>84073</xdr:colOff>
      <xdr:row>15</xdr:row>
      <xdr:rowOff>130474</xdr:rowOff>
    </xdr:from>
    <xdr:to>
      <xdr:col>12</xdr:col>
      <xdr:colOff>224370</xdr:colOff>
      <xdr:row>26</xdr:row>
      <xdr:rowOff>125652</xdr:rowOff>
    </xdr:to>
    <xdr:grpSp>
      <xdr:nvGrpSpPr>
        <xdr:cNvPr id="180" name="WorseChart">
          <a:extLst>
            <a:ext uri="{FF2B5EF4-FFF2-40B4-BE49-F238E27FC236}">
              <a16:creationId xmlns:a16="http://schemas.microsoft.com/office/drawing/2014/main" id="{C1584B07-2619-988D-F723-0620F0E80EDC}"/>
            </a:ext>
          </a:extLst>
        </xdr:cNvPr>
        <xdr:cNvGrpSpPr/>
      </xdr:nvGrpSpPr>
      <xdr:grpSpPr>
        <a:xfrm>
          <a:off x="3191520" y="2866378"/>
          <a:ext cx="3788169" cy="2001508"/>
          <a:chOff x="1855723" y="5718474"/>
          <a:chExt cx="3797897" cy="2020828"/>
        </a:xfrm>
      </xdr:grpSpPr>
      <xdr:grpSp>
        <xdr:nvGrpSpPr>
          <xdr:cNvPr id="171" name="Group 170">
            <a:extLst>
              <a:ext uri="{FF2B5EF4-FFF2-40B4-BE49-F238E27FC236}">
                <a16:creationId xmlns:a16="http://schemas.microsoft.com/office/drawing/2014/main" id="{167C3203-A883-AC6B-EE71-0CF19A124FC9}"/>
              </a:ext>
            </a:extLst>
          </xdr:cNvPr>
          <xdr:cNvGrpSpPr/>
        </xdr:nvGrpSpPr>
        <xdr:grpSpPr>
          <a:xfrm>
            <a:off x="1855723" y="5767677"/>
            <a:ext cx="407517" cy="1922424"/>
            <a:chOff x="2668523" y="5335877"/>
            <a:chExt cx="407517" cy="1922424"/>
          </a:xfrm>
        </xdr:grpSpPr>
        <xdr:sp macro="[0]!HideShow" textlink="">
          <xdr:nvSpPr>
            <xdr:cNvPr id="126" name="TextBox 125">
              <a:extLst>
                <a:ext uri="{FF2B5EF4-FFF2-40B4-BE49-F238E27FC236}">
                  <a16:creationId xmlns:a16="http://schemas.microsoft.com/office/drawing/2014/main" id="{1282EFE0-419A-3867-367E-9C2F65D8925A}"/>
                </a:ext>
              </a:extLst>
            </xdr:cNvPr>
            <xdr:cNvSpPr txBox="1"/>
          </xdr:nvSpPr>
          <xdr:spPr>
            <a:xfrm>
              <a:off x="2668523" y="5335877"/>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1</a:t>
              </a:r>
              <a:endParaRPr lang="en-NG" sz="1100">
                <a:solidFill>
                  <a:schemeClr val="bg1"/>
                </a:solidFill>
                <a:latin typeface="Arial Black" panose="020B0A04020102020204" pitchFamily="34" charset="0"/>
              </a:endParaRPr>
            </a:p>
          </xdr:txBody>
        </xdr:sp>
        <xdr:sp macro="[0]!HideShow" textlink="">
          <xdr:nvSpPr>
            <xdr:cNvPr id="130" name="TextBox 129">
              <a:extLst>
                <a:ext uri="{FF2B5EF4-FFF2-40B4-BE49-F238E27FC236}">
                  <a16:creationId xmlns:a16="http://schemas.microsoft.com/office/drawing/2014/main" id="{1B14687D-637C-0ACA-51C1-8D988551D3C1}"/>
                </a:ext>
              </a:extLst>
            </xdr:cNvPr>
            <xdr:cNvSpPr txBox="1"/>
          </xdr:nvSpPr>
          <xdr:spPr>
            <a:xfrm>
              <a:off x="2668523" y="5529935"/>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2</a:t>
              </a:r>
              <a:endParaRPr lang="en-NG" sz="1100">
                <a:solidFill>
                  <a:schemeClr val="bg1"/>
                </a:solidFill>
                <a:latin typeface="Arial Black" panose="020B0A04020102020204" pitchFamily="34" charset="0"/>
              </a:endParaRPr>
            </a:p>
          </xdr:txBody>
        </xdr:sp>
        <xdr:sp macro="[0]!HideShow" textlink="">
          <xdr:nvSpPr>
            <xdr:cNvPr id="134" name="TextBox 133">
              <a:extLst>
                <a:ext uri="{FF2B5EF4-FFF2-40B4-BE49-F238E27FC236}">
                  <a16:creationId xmlns:a16="http://schemas.microsoft.com/office/drawing/2014/main" id="{F285548D-EF21-FEED-72E8-A438950773FF}"/>
                </a:ext>
              </a:extLst>
            </xdr:cNvPr>
            <xdr:cNvSpPr txBox="1"/>
          </xdr:nvSpPr>
          <xdr:spPr>
            <a:xfrm>
              <a:off x="2668523" y="7082396"/>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10</a:t>
              </a:r>
              <a:endParaRPr lang="en-NG" sz="1100">
                <a:solidFill>
                  <a:schemeClr val="bg1"/>
                </a:solidFill>
                <a:latin typeface="Arial Black" panose="020B0A04020102020204" pitchFamily="34" charset="0"/>
              </a:endParaRPr>
            </a:p>
          </xdr:txBody>
        </xdr:sp>
        <xdr:sp macro="[0]!HideShow" textlink="">
          <xdr:nvSpPr>
            <xdr:cNvPr id="135" name="TextBox 134">
              <a:extLst>
                <a:ext uri="{FF2B5EF4-FFF2-40B4-BE49-F238E27FC236}">
                  <a16:creationId xmlns:a16="http://schemas.microsoft.com/office/drawing/2014/main" id="{3FC6D155-CDC3-2DE9-B2F6-F6C2641F8DD7}"/>
                </a:ext>
              </a:extLst>
            </xdr:cNvPr>
            <xdr:cNvSpPr txBox="1"/>
          </xdr:nvSpPr>
          <xdr:spPr>
            <a:xfrm>
              <a:off x="2668523" y="5723993"/>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3</a:t>
              </a:r>
              <a:endParaRPr lang="en-NG" sz="1100">
                <a:solidFill>
                  <a:schemeClr val="bg1"/>
                </a:solidFill>
                <a:latin typeface="Arial Black" panose="020B0A04020102020204" pitchFamily="34" charset="0"/>
              </a:endParaRPr>
            </a:p>
          </xdr:txBody>
        </xdr:sp>
        <xdr:sp macro="[0]!HideShow" textlink="">
          <xdr:nvSpPr>
            <xdr:cNvPr id="136" name="TextBox 135">
              <a:extLst>
                <a:ext uri="{FF2B5EF4-FFF2-40B4-BE49-F238E27FC236}">
                  <a16:creationId xmlns:a16="http://schemas.microsoft.com/office/drawing/2014/main" id="{84EB127C-B53D-766D-33FB-D3E5D9198008}"/>
                </a:ext>
              </a:extLst>
            </xdr:cNvPr>
            <xdr:cNvSpPr txBox="1"/>
          </xdr:nvSpPr>
          <xdr:spPr>
            <a:xfrm>
              <a:off x="2668523" y="6694281"/>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8</a:t>
              </a:r>
              <a:endParaRPr lang="en-NG" sz="1100">
                <a:solidFill>
                  <a:schemeClr val="bg1"/>
                </a:solidFill>
                <a:latin typeface="Arial Black" panose="020B0A04020102020204" pitchFamily="34" charset="0"/>
              </a:endParaRPr>
            </a:p>
          </xdr:txBody>
        </xdr:sp>
        <xdr:sp macro="[0]!HideShow" textlink="">
          <xdr:nvSpPr>
            <xdr:cNvPr id="137" name="TextBox 136">
              <a:extLst>
                <a:ext uri="{FF2B5EF4-FFF2-40B4-BE49-F238E27FC236}">
                  <a16:creationId xmlns:a16="http://schemas.microsoft.com/office/drawing/2014/main" id="{56E58789-1A53-865D-282D-C49EE09CEB24}"/>
                </a:ext>
              </a:extLst>
            </xdr:cNvPr>
            <xdr:cNvSpPr txBox="1"/>
          </xdr:nvSpPr>
          <xdr:spPr>
            <a:xfrm>
              <a:off x="2668523" y="5918050"/>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4</a:t>
              </a:r>
              <a:endParaRPr lang="en-NG" sz="1100">
                <a:solidFill>
                  <a:schemeClr val="bg1"/>
                </a:solidFill>
                <a:latin typeface="Arial Black" panose="020B0A04020102020204" pitchFamily="34" charset="0"/>
              </a:endParaRPr>
            </a:p>
          </xdr:txBody>
        </xdr:sp>
        <xdr:sp macro="[0]!HideShow" textlink="">
          <xdr:nvSpPr>
            <xdr:cNvPr id="138" name="TextBox 137">
              <a:extLst>
                <a:ext uri="{FF2B5EF4-FFF2-40B4-BE49-F238E27FC236}">
                  <a16:creationId xmlns:a16="http://schemas.microsoft.com/office/drawing/2014/main" id="{D2ECBC0A-FD58-86CC-C128-BCED7345F2F0}"/>
                </a:ext>
              </a:extLst>
            </xdr:cNvPr>
            <xdr:cNvSpPr txBox="1"/>
          </xdr:nvSpPr>
          <xdr:spPr>
            <a:xfrm>
              <a:off x="2668523" y="6500223"/>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7</a:t>
              </a:r>
              <a:endParaRPr lang="en-NG" sz="1100">
                <a:solidFill>
                  <a:schemeClr val="bg1"/>
                </a:solidFill>
                <a:latin typeface="Arial Black" panose="020B0A04020102020204" pitchFamily="34" charset="0"/>
              </a:endParaRPr>
            </a:p>
          </xdr:txBody>
        </xdr:sp>
        <xdr:sp macro="[0]!HideShow" textlink="">
          <xdr:nvSpPr>
            <xdr:cNvPr id="139" name="TextBox 138">
              <a:extLst>
                <a:ext uri="{FF2B5EF4-FFF2-40B4-BE49-F238E27FC236}">
                  <a16:creationId xmlns:a16="http://schemas.microsoft.com/office/drawing/2014/main" id="{1F96C4A5-9FC8-904C-60BE-A767019F509B}"/>
                </a:ext>
              </a:extLst>
            </xdr:cNvPr>
            <xdr:cNvSpPr txBox="1"/>
          </xdr:nvSpPr>
          <xdr:spPr>
            <a:xfrm>
              <a:off x="2668523" y="6112108"/>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5</a:t>
              </a:r>
              <a:endParaRPr lang="en-NG" sz="1100">
                <a:solidFill>
                  <a:schemeClr val="bg1"/>
                </a:solidFill>
                <a:latin typeface="Arial Black" panose="020B0A04020102020204" pitchFamily="34" charset="0"/>
              </a:endParaRPr>
            </a:p>
          </xdr:txBody>
        </xdr:sp>
        <xdr:sp macro="[0]!HideShow" textlink="">
          <xdr:nvSpPr>
            <xdr:cNvPr id="140" name="TextBox 139">
              <a:extLst>
                <a:ext uri="{FF2B5EF4-FFF2-40B4-BE49-F238E27FC236}">
                  <a16:creationId xmlns:a16="http://schemas.microsoft.com/office/drawing/2014/main" id="{A0E71DC8-FE71-2E51-90E3-60F269C64968}"/>
                </a:ext>
              </a:extLst>
            </xdr:cNvPr>
            <xdr:cNvSpPr txBox="1"/>
          </xdr:nvSpPr>
          <xdr:spPr>
            <a:xfrm>
              <a:off x="2668523" y="6306165"/>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6</a:t>
              </a:r>
              <a:endParaRPr lang="en-NG" sz="1100">
                <a:solidFill>
                  <a:schemeClr val="bg1"/>
                </a:solidFill>
                <a:latin typeface="Arial Black" panose="020B0A04020102020204" pitchFamily="34" charset="0"/>
              </a:endParaRPr>
            </a:p>
          </xdr:txBody>
        </xdr:sp>
        <xdr:sp macro="[0]!HideShow" textlink="">
          <xdr:nvSpPr>
            <xdr:cNvPr id="141" name="TextBox 140">
              <a:extLst>
                <a:ext uri="{FF2B5EF4-FFF2-40B4-BE49-F238E27FC236}">
                  <a16:creationId xmlns:a16="http://schemas.microsoft.com/office/drawing/2014/main" id="{A1DDC837-2DDD-D096-A93D-1667BE450ED9}"/>
                </a:ext>
              </a:extLst>
            </xdr:cNvPr>
            <xdr:cNvSpPr txBox="1"/>
          </xdr:nvSpPr>
          <xdr:spPr>
            <a:xfrm>
              <a:off x="2668523" y="6888339"/>
              <a:ext cx="407517" cy="175905"/>
            </a:xfrm>
            <a:prstGeom prst="rect">
              <a:avLst/>
            </a:prstGeom>
            <a:gradFill>
              <a:gsLst>
                <a:gs pos="50000">
                  <a:schemeClr val="accent2"/>
                </a:gs>
                <a:gs pos="84000">
                  <a:schemeClr val="accent2">
                    <a:lumMod val="40000"/>
                    <a:lumOff val="60000"/>
                  </a:schemeClr>
                </a:gs>
              </a:gsLst>
              <a:lin ang="540000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100">
                  <a:solidFill>
                    <a:schemeClr val="bg1"/>
                  </a:solidFill>
                  <a:latin typeface="Arial Black" panose="020B0A04020102020204" pitchFamily="34" charset="0"/>
                </a:rPr>
                <a:t>9</a:t>
              </a:r>
              <a:endParaRPr lang="en-NG" sz="1100">
                <a:solidFill>
                  <a:schemeClr val="bg1"/>
                </a:solidFill>
                <a:latin typeface="Arial Black" panose="020B0A04020102020204" pitchFamily="34" charset="0"/>
              </a:endParaRPr>
            </a:p>
          </xdr:txBody>
        </xdr:sp>
      </xdr:grpSp>
      <xdr:grpSp>
        <xdr:nvGrpSpPr>
          <xdr:cNvPr id="172" name="Group 171">
            <a:extLst>
              <a:ext uri="{FF2B5EF4-FFF2-40B4-BE49-F238E27FC236}">
                <a16:creationId xmlns:a16="http://schemas.microsoft.com/office/drawing/2014/main" id="{CC5D1428-82BE-D01C-DF22-E545AB05663A}"/>
              </a:ext>
            </a:extLst>
          </xdr:cNvPr>
          <xdr:cNvGrpSpPr/>
        </xdr:nvGrpSpPr>
        <xdr:grpSpPr>
          <a:xfrm>
            <a:off x="2243110" y="5767135"/>
            <a:ext cx="1380099" cy="1923507"/>
            <a:chOff x="3055910" y="5335335"/>
            <a:chExt cx="1380099" cy="1923507"/>
          </a:xfrm>
        </xdr:grpSpPr>
        <xdr:sp macro="[0]!HideShow" textlink="Pivot_Tables_Performance!$B$3">
          <xdr:nvSpPr>
            <xdr:cNvPr id="142" name="TextBox 141">
              <a:extLst>
                <a:ext uri="{FF2B5EF4-FFF2-40B4-BE49-F238E27FC236}">
                  <a16:creationId xmlns:a16="http://schemas.microsoft.com/office/drawing/2014/main" id="{1CA27D37-CDF9-244C-7963-745CD77963D7}"/>
                </a:ext>
              </a:extLst>
            </xdr:cNvPr>
            <xdr:cNvSpPr txBox="1"/>
          </xdr:nvSpPr>
          <xdr:spPr>
            <a:xfrm>
              <a:off x="3055911" y="5335335"/>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471CA87-C84D-4D51-B87C-EE12C692B992}" type="TxLink">
                <a:rPr lang="en-US" sz="1100" b="0" i="0" u="none" strike="noStrike">
                  <a:solidFill>
                    <a:schemeClr val="bg1"/>
                  </a:solidFill>
                  <a:latin typeface="Arial Black" panose="020B0A04020102020204" pitchFamily="34" charset="0"/>
                </a:rPr>
                <a:pPr algn="l"/>
                <a:t>Tallahassee</a:t>
              </a:fld>
              <a:endParaRPr lang="en-NG" sz="1100">
                <a:solidFill>
                  <a:schemeClr val="bg1"/>
                </a:solidFill>
                <a:latin typeface="Arial Black" panose="020B0A04020102020204" pitchFamily="34" charset="0"/>
              </a:endParaRPr>
            </a:p>
          </xdr:txBody>
        </xdr:sp>
        <xdr:sp macro="[0]!HideShow" textlink="Pivot_Tables_Performance!$B$4">
          <xdr:nvSpPr>
            <xdr:cNvPr id="143" name="TextBox 142">
              <a:extLst>
                <a:ext uri="{FF2B5EF4-FFF2-40B4-BE49-F238E27FC236}">
                  <a16:creationId xmlns:a16="http://schemas.microsoft.com/office/drawing/2014/main" id="{C9B86B68-3D8E-07B8-D3F5-B940F9E0E5AB}"/>
                </a:ext>
              </a:extLst>
            </xdr:cNvPr>
            <xdr:cNvSpPr txBox="1"/>
          </xdr:nvSpPr>
          <xdr:spPr>
            <a:xfrm>
              <a:off x="3055910" y="5529500"/>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96BFD41-253A-46F5-915E-E8BA0A706452}" type="TxLink">
                <a:rPr lang="en-US" sz="1100" b="0" i="0" u="none" strike="noStrike">
                  <a:solidFill>
                    <a:schemeClr val="bg1"/>
                  </a:solidFill>
                  <a:latin typeface="Arial Black" panose="020B0A04020102020204" pitchFamily="34" charset="0"/>
                </a:rPr>
                <a:pPr algn="l"/>
                <a:t>Cuyahoga Falls</a:t>
              </a:fld>
              <a:endParaRPr lang="en-NG" sz="1100">
                <a:solidFill>
                  <a:schemeClr val="bg1"/>
                </a:solidFill>
                <a:latin typeface="Arial Black" panose="020B0A04020102020204" pitchFamily="34" charset="0"/>
              </a:endParaRPr>
            </a:p>
          </xdr:txBody>
        </xdr:sp>
        <xdr:sp macro="[0]!HideShow" textlink="Pivot_Tables_Performance!$B$12">
          <xdr:nvSpPr>
            <xdr:cNvPr id="144" name="TextBox 143">
              <a:extLst>
                <a:ext uri="{FF2B5EF4-FFF2-40B4-BE49-F238E27FC236}">
                  <a16:creationId xmlns:a16="http://schemas.microsoft.com/office/drawing/2014/main" id="{803DC080-C535-40C0-A3E7-0345C1347E59}"/>
                </a:ext>
              </a:extLst>
            </xdr:cNvPr>
            <xdr:cNvSpPr txBox="1"/>
          </xdr:nvSpPr>
          <xdr:spPr>
            <a:xfrm>
              <a:off x="3055910" y="7082838"/>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4487ABB-B872-49BC-8836-CD0898C9F99E}" type="TxLink">
                <a:rPr lang="en-US" sz="1100" b="0" i="0" u="none" strike="noStrike">
                  <a:solidFill>
                    <a:schemeClr val="bg1"/>
                  </a:solidFill>
                  <a:latin typeface="Arial Black" panose="020B0A04020102020204" pitchFamily="34" charset="0"/>
                </a:rPr>
                <a:pPr algn="l"/>
                <a:t>Akron</a:t>
              </a:fld>
              <a:endParaRPr lang="en-NG" sz="1100">
                <a:solidFill>
                  <a:schemeClr val="bg1"/>
                </a:solidFill>
                <a:latin typeface="Arial Black" panose="020B0A04020102020204" pitchFamily="34" charset="0"/>
              </a:endParaRPr>
            </a:p>
          </xdr:txBody>
        </xdr:sp>
        <xdr:sp macro="[0]!HideShow" textlink="Pivot_Tables_Performance!$B$5">
          <xdr:nvSpPr>
            <xdr:cNvPr id="145" name="TextBox 144">
              <a:extLst>
                <a:ext uri="{FF2B5EF4-FFF2-40B4-BE49-F238E27FC236}">
                  <a16:creationId xmlns:a16="http://schemas.microsoft.com/office/drawing/2014/main" id="{D82E4073-9FD8-C863-023C-56329EC69F53}"/>
                </a:ext>
              </a:extLst>
            </xdr:cNvPr>
            <xdr:cNvSpPr txBox="1"/>
          </xdr:nvSpPr>
          <xdr:spPr>
            <a:xfrm>
              <a:off x="3055910" y="5723668"/>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DF41574-DF80-438B-8C74-24242A3C4B2A}" type="TxLink">
                <a:rPr lang="en-US" sz="1100" b="0" i="0" u="none" strike="noStrike">
                  <a:solidFill>
                    <a:schemeClr val="bg1"/>
                  </a:solidFill>
                  <a:latin typeface="Arial Black" panose="020B0A04020102020204" pitchFamily="34" charset="0"/>
                </a:rPr>
                <a:pPr algn="l"/>
                <a:t>Coral Springs</a:t>
              </a:fld>
              <a:endParaRPr lang="en-NG" sz="1100">
                <a:solidFill>
                  <a:schemeClr val="bg1"/>
                </a:solidFill>
                <a:latin typeface="Arial Black" panose="020B0A04020102020204" pitchFamily="34" charset="0"/>
              </a:endParaRPr>
            </a:p>
          </xdr:txBody>
        </xdr:sp>
        <xdr:sp macro="[0]!HideShow" textlink="Pivot_Tables_Performance!$B$10">
          <xdr:nvSpPr>
            <xdr:cNvPr id="146" name="TextBox 145">
              <a:extLst>
                <a:ext uri="{FF2B5EF4-FFF2-40B4-BE49-F238E27FC236}">
                  <a16:creationId xmlns:a16="http://schemas.microsoft.com/office/drawing/2014/main" id="{A3EFBF8C-A942-7B1E-E13E-6976A0E5427E}"/>
                </a:ext>
              </a:extLst>
            </xdr:cNvPr>
            <xdr:cNvSpPr txBox="1"/>
          </xdr:nvSpPr>
          <xdr:spPr>
            <a:xfrm>
              <a:off x="3055910" y="6694504"/>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5CCE62E-3D3E-44D8-9C51-56B8EC89F276}" type="TxLink">
                <a:rPr lang="en-US" sz="1100" b="0" i="0" u="none" strike="noStrike">
                  <a:solidFill>
                    <a:schemeClr val="bg1"/>
                  </a:solidFill>
                  <a:latin typeface="Arial Black" panose="020B0A04020102020204" pitchFamily="34" charset="0"/>
                </a:rPr>
                <a:pPr algn="l"/>
                <a:t>Greeley</a:t>
              </a:fld>
              <a:endParaRPr lang="en-NG" sz="1100">
                <a:solidFill>
                  <a:schemeClr val="bg1"/>
                </a:solidFill>
                <a:latin typeface="Arial Black" panose="020B0A04020102020204" pitchFamily="34" charset="0"/>
              </a:endParaRPr>
            </a:p>
          </xdr:txBody>
        </xdr:sp>
        <xdr:sp macro="[0]!HideShow" textlink="Pivot_Tables_Performance!$B$6">
          <xdr:nvSpPr>
            <xdr:cNvPr id="147" name="TextBox 146">
              <a:extLst>
                <a:ext uri="{FF2B5EF4-FFF2-40B4-BE49-F238E27FC236}">
                  <a16:creationId xmlns:a16="http://schemas.microsoft.com/office/drawing/2014/main" id="{16A66D9B-54E2-A749-367A-FF6A2ECA88CD}"/>
                </a:ext>
              </a:extLst>
            </xdr:cNvPr>
            <xdr:cNvSpPr txBox="1"/>
          </xdr:nvSpPr>
          <xdr:spPr>
            <a:xfrm>
              <a:off x="3055910" y="5917836"/>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A454880-CA18-4797-8938-D8ED814617E1}" type="TxLink">
                <a:rPr lang="en-US" sz="1100" b="0" i="0" u="none" strike="noStrike">
                  <a:solidFill>
                    <a:schemeClr val="bg1"/>
                  </a:solidFill>
                  <a:latin typeface="Arial Black" panose="020B0A04020102020204" pitchFamily="34" charset="0"/>
                </a:rPr>
                <a:pPr algn="l"/>
                <a:t>Coral Gables</a:t>
              </a:fld>
              <a:endParaRPr lang="en-NG" sz="1100">
                <a:solidFill>
                  <a:schemeClr val="bg1"/>
                </a:solidFill>
                <a:latin typeface="Arial Black" panose="020B0A04020102020204" pitchFamily="34" charset="0"/>
              </a:endParaRPr>
            </a:p>
          </xdr:txBody>
        </xdr:sp>
        <xdr:sp macro="[0]!HideShow" textlink="Pivot_Tables_Performance!$B$9">
          <xdr:nvSpPr>
            <xdr:cNvPr id="148" name="TextBox 147">
              <a:extLst>
                <a:ext uri="{FF2B5EF4-FFF2-40B4-BE49-F238E27FC236}">
                  <a16:creationId xmlns:a16="http://schemas.microsoft.com/office/drawing/2014/main" id="{E03C8400-8D22-5EEA-07FD-779BEDDEBD6C}"/>
                </a:ext>
              </a:extLst>
            </xdr:cNvPr>
            <xdr:cNvSpPr txBox="1"/>
          </xdr:nvSpPr>
          <xdr:spPr>
            <a:xfrm>
              <a:off x="3055910" y="6500338"/>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BB10E3-F421-4676-B42E-17F2522BD4C8}" type="TxLink">
                <a:rPr lang="en-US" sz="1100" b="0" i="0" u="none" strike="noStrike">
                  <a:solidFill>
                    <a:schemeClr val="bg1"/>
                  </a:solidFill>
                  <a:latin typeface="Arial Black" panose="020B0A04020102020204" pitchFamily="34" charset="0"/>
                </a:rPr>
                <a:pPr algn="l"/>
                <a:t>Allentown</a:t>
              </a:fld>
              <a:endParaRPr lang="en-NG" sz="1100">
                <a:solidFill>
                  <a:schemeClr val="bg1"/>
                </a:solidFill>
                <a:latin typeface="Arial Black" panose="020B0A04020102020204" pitchFamily="34" charset="0"/>
              </a:endParaRPr>
            </a:p>
          </xdr:txBody>
        </xdr:sp>
        <xdr:sp macro="[0]!HideShow" textlink="Pivot_Tables_Performance!$B$7">
          <xdr:nvSpPr>
            <xdr:cNvPr id="149" name="TextBox 148">
              <a:extLst>
                <a:ext uri="{FF2B5EF4-FFF2-40B4-BE49-F238E27FC236}">
                  <a16:creationId xmlns:a16="http://schemas.microsoft.com/office/drawing/2014/main" id="{D27C636E-0A53-2D6D-25F0-CC4372AA082B}"/>
                </a:ext>
              </a:extLst>
            </xdr:cNvPr>
            <xdr:cNvSpPr txBox="1"/>
          </xdr:nvSpPr>
          <xdr:spPr>
            <a:xfrm>
              <a:off x="3055910" y="6112003"/>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0C819EE-C525-409E-9A89-E237A332BA12}" type="TxLink">
                <a:rPr lang="en-US" sz="1100" b="0" i="0" u="none" strike="noStrike">
                  <a:solidFill>
                    <a:schemeClr val="bg1"/>
                  </a:solidFill>
                  <a:latin typeface="Arial Black" panose="020B0A04020102020204" pitchFamily="34" charset="0"/>
                </a:rPr>
                <a:pPr algn="l"/>
                <a:t>Meridian</a:t>
              </a:fld>
              <a:endParaRPr lang="en-NG" sz="1100">
                <a:solidFill>
                  <a:schemeClr val="bg1"/>
                </a:solidFill>
                <a:latin typeface="Arial Black" panose="020B0A04020102020204" pitchFamily="34" charset="0"/>
              </a:endParaRPr>
            </a:p>
          </xdr:txBody>
        </xdr:sp>
        <xdr:sp macro="[0]!HideShow" textlink="Pivot_Tables_Performance!$B$8">
          <xdr:nvSpPr>
            <xdr:cNvPr id="150" name="TextBox 149">
              <a:extLst>
                <a:ext uri="{FF2B5EF4-FFF2-40B4-BE49-F238E27FC236}">
                  <a16:creationId xmlns:a16="http://schemas.microsoft.com/office/drawing/2014/main" id="{201B926E-5C4C-250E-3959-E48255582AC4}"/>
                </a:ext>
              </a:extLst>
            </xdr:cNvPr>
            <xdr:cNvSpPr txBox="1"/>
          </xdr:nvSpPr>
          <xdr:spPr>
            <a:xfrm>
              <a:off x="3055910" y="6306170"/>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A4C822E-DBC3-44D9-B106-9987C5003B7D}" type="TxLink">
                <a:rPr lang="en-US" sz="1100" b="0" i="0" u="none" strike="noStrike">
                  <a:solidFill>
                    <a:schemeClr val="bg1"/>
                  </a:solidFill>
                  <a:latin typeface="Arial Black" panose="020B0A04020102020204" pitchFamily="34" charset="0"/>
                </a:rPr>
                <a:pPr algn="l"/>
                <a:t>Hillsboro</a:t>
              </a:fld>
              <a:endParaRPr lang="en-NG" sz="1100">
                <a:solidFill>
                  <a:schemeClr val="bg1"/>
                </a:solidFill>
                <a:latin typeface="Arial Black" panose="020B0A04020102020204" pitchFamily="34" charset="0"/>
              </a:endParaRPr>
            </a:p>
          </xdr:txBody>
        </xdr:sp>
        <xdr:sp macro="[0]!HideShow" textlink="Pivot_Tables_Performance!$B$11">
          <xdr:nvSpPr>
            <xdr:cNvPr id="151" name="TextBox 150">
              <a:extLst>
                <a:ext uri="{FF2B5EF4-FFF2-40B4-BE49-F238E27FC236}">
                  <a16:creationId xmlns:a16="http://schemas.microsoft.com/office/drawing/2014/main" id="{E74F2284-D5F4-AA85-2470-00EB897D6625}"/>
                </a:ext>
              </a:extLst>
            </xdr:cNvPr>
            <xdr:cNvSpPr txBox="1"/>
          </xdr:nvSpPr>
          <xdr:spPr>
            <a:xfrm>
              <a:off x="3055910" y="6888671"/>
              <a:ext cx="1380098" cy="176004"/>
            </a:xfrm>
            <a:prstGeom prst="rect">
              <a:avLst/>
            </a:prstGeom>
            <a:gradFill>
              <a:gsLst>
                <a:gs pos="40000">
                  <a:srgbClr val="C00000"/>
                </a:gs>
                <a:gs pos="88000">
                  <a:srgbClr val="F7D5C9"/>
                </a:gs>
              </a:gsLst>
              <a:lin ang="3000000" scaled="0"/>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7667A01-946A-49D3-81C7-A38206E80D37}" type="TxLink">
                <a:rPr lang="en-US" sz="1100" b="0" i="0" u="none" strike="noStrike">
                  <a:solidFill>
                    <a:schemeClr val="bg1"/>
                  </a:solidFill>
                  <a:latin typeface="Arial Black" panose="020B0A04020102020204" pitchFamily="34" charset="0"/>
                </a:rPr>
                <a:pPr algn="l"/>
                <a:t>Mission Viejo</a:t>
              </a:fld>
              <a:endParaRPr lang="en-NG" sz="1100">
                <a:solidFill>
                  <a:schemeClr val="bg1"/>
                </a:solidFill>
                <a:latin typeface="Arial Black" panose="020B0A04020102020204" pitchFamily="34" charset="0"/>
              </a:endParaRPr>
            </a:p>
          </xdr:txBody>
        </xdr:sp>
      </xdr:grpSp>
      <xdr:grpSp>
        <xdr:nvGrpSpPr>
          <xdr:cNvPr id="173" name="Group 172">
            <a:extLst>
              <a:ext uri="{FF2B5EF4-FFF2-40B4-BE49-F238E27FC236}">
                <a16:creationId xmlns:a16="http://schemas.microsoft.com/office/drawing/2014/main" id="{3810D9AB-FA37-C22C-FB32-237F00F1DE78}"/>
              </a:ext>
            </a:extLst>
          </xdr:cNvPr>
          <xdr:cNvGrpSpPr/>
        </xdr:nvGrpSpPr>
        <xdr:grpSpPr>
          <a:xfrm>
            <a:off x="3603083" y="5766591"/>
            <a:ext cx="838143" cy="1924594"/>
            <a:chOff x="4415883" y="5334791"/>
            <a:chExt cx="838143" cy="1924594"/>
          </a:xfrm>
        </xdr:grpSpPr>
        <xdr:sp macro="[0]!HideShow" textlink="Pivot_Tables_Performance!$C$3">
          <xdr:nvSpPr>
            <xdr:cNvPr id="152" name="TextBox 151">
              <a:extLst>
                <a:ext uri="{FF2B5EF4-FFF2-40B4-BE49-F238E27FC236}">
                  <a16:creationId xmlns:a16="http://schemas.microsoft.com/office/drawing/2014/main" id="{3AC30A72-59AA-1B6D-32C3-AA39078D8EA8}"/>
                </a:ext>
              </a:extLst>
            </xdr:cNvPr>
            <xdr:cNvSpPr txBox="1"/>
          </xdr:nvSpPr>
          <xdr:spPr>
            <a:xfrm>
              <a:off x="4415883" y="5334791"/>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C8D8568-B127-4276-808C-1BAEAC831EBB}" type="TxLink">
                <a:rPr lang="en-US" sz="1100" b="0" i="0" u="none" strike="noStrike">
                  <a:solidFill>
                    <a:schemeClr val="bg1"/>
                  </a:solidFill>
                  <a:latin typeface="Arial Black" panose="020B0A04020102020204" pitchFamily="34" charset="0"/>
                </a:rPr>
                <a:pPr algn="l"/>
                <a:t>0</a:t>
              </a:fld>
              <a:endParaRPr lang="en-NG" sz="1100">
                <a:solidFill>
                  <a:schemeClr val="bg1"/>
                </a:solidFill>
                <a:latin typeface="Arial Black" panose="020B0A04020102020204" pitchFamily="34" charset="0"/>
              </a:endParaRPr>
            </a:p>
          </xdr:txBody>
        </xdr:sp>
        <xdr:sp macro="[0]!HideShow" textlink="Pivot_Tables_Performance!$C$4">
          <xdr:nvSpPr>
            <xdr:cNvPr id="153" name="TextBox 152">
              <a:extLst>
                <a:ext uri="{FF2B5EF4-FFF2-40B4-BE49-F238E27FC236}">
                  <a16:creationId xmlns:a16="http://schemas.microsoft.com/office/drawing/2014/main" id="{32EC2DBD-1F62-F69A-8570-F0A4B4622222}"/>
                </a:ext>
              </a:extLst>
            </xdr:cNvPr>
            <xdr:cNvSpPr txBox="1"/>
          </xdr:nvSpPr>
          <xdr:spPr>
            <a:xfrm>
              <a:off x="4415883" y="5529069"/>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A4110D0-BA7B-4A0A-B4D3-F9E4B31E71DE}" type="TxLink">
                <a:rPr lang="en-US" sz="1100" b="0" i="0" u="none" strike="noStrike">
                  <a:solidFill>
                    <a:schemeClr val="bg1"/>
                  </a:solidFill>
                  <a:latin typeface="Arial Black" panose="020B0A04020102020204" pitchFamily="34" charset="0"/>
                </a:rPr>
                <a:pPr algn="l"/>
                <a:t>1</a:t>
              </a:fld>
              <a:endParaRPr lang="en-NG" sz="1100">
                <a:solidFill>
                  <a:schemeClr val="bg1"/>
                </a:solidFill>
                <a:latin typeface="Arial Black" panose="020B0A04020102020204" pitchFamily="34" charset="0"/>
              </a:endParaRPr>
            </a:p>
          </xdr:txBody>
        </xdr:sp>
        <xdr:sp macro="[0]!HideShow" textlink="Pivot_Tables_Performance!$C$12">
          <xdr:nvSpPr>
            <xdr:cNvPr id="154" name="TextBox 153">
              <a:extLst>
                <a:ext uri="{FF2B5EF4-FFF2-40B4-BE49-F238E27FC236}">
                  <a16:creationId xmlns:a16="http://schemas.microsoft.com/office/drawing/2014/main" id="{2B5A3A5B-A6FB-5405-7D7D-B3F8C684C23C}"/>
                </a:ext>
              </a:extLst>
            </xdr:cNvPr>
            <xdr:cNvSpPr txBox="1"/>
          </xdr:nvSpPr>
          <xdr:spPr>
            <a:xfrm>
              <a:off x="4415883" y="7083282"/>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72B8689-47E5-40AD-A181-183DC3FD2F10}" type="TxLink">
                <a:rPr lang="en-US" sz="1100" b="0" i="0" u="none" strike="noStrike">
                  <a:solidFill>
                    <a:schemeClr val="bg1"/>
                  </a:solidFill>
                  <a:latin typeface="Arial Black" panose="020B0A04020102020204" pitchFamily="34" charset="0"/>
                </a:rPr>
                <a:pPr algn="l"/>
                <a:t>4</a:t>
              </a:fld>
              <a:endParaRPr lang="en-NG" sz="1100">
                <a:solidFill>
                  <a:schemeClr val="bg1"/>
                </a:solidFill>
                <a:latin typeface="Arial Black" panose="020B0A04020102020204" pitchFamily="34" charset="0"/>
              </a:endParaRPr>
            </a:p>
          </xdr:txBody>
        </xdr:sp>
        <xdr:sp macro="[0]!HideShow" textlink="Pivot_Tables_Performance!$C$5">
          <xdr:nvSpPr>
            <xdr:cNvPr id="155" name="TextBox 154">
              <a:extLst>
                <a:ext uri="{FF2B5EF4-FFF2-40B4-BE49-F238E27FC236}">
                  <a16:creationId xmlns:a16="http://schemas.microsoft.com/office/drawing/2014/main" id="{1D53ABF0-AFE3-1FA9-0A08-D2065C43BB40}"/>
                </a:ext>
              </a:extLst>
            </xdr:cNvPr>
            <xdr:cNvSpPr txBox="1"/>
          </xdr:nvSpPr>
          <xdr:spPr>
            <a:xfrm>
              <a:off x="4415883" y="5723345"/>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7B5369B-55D5-4539-8947-D5C6765C4E96}" type="TxLink">
                <a:rPr lang="en-US" sz="1100" b="0" i="0" u="none" strike="noStrike">
                  <a:solidFill>
                    <a:schemeClr val="bg1"/>
                  </a:solidFill>
                  <a:latin typeface="Arial Black" panose="020B0A04020102020204" pitchFamily="34" charset="0"/>
                </a:rPr>
                <a:pPr algn="l"/>
                <a:t>3</a:t>
              </a:fld>
              <a:endParaRPr lang="en-NG" sz="1100">
                <a:solidFill>
                  <a:schemeClr val="bg1"/>
                </a:solidFill>
                <a:latin typeface="Arial Black" panose="020B0A04020102020204" pitchFamily="34" charset="0"/>
              </a:endParaRPr>
            </a:p>
          </xdr:txBody>
        </xdr:sp>
        <xdr:sp macro="[0]!HideShow" textlink="Pivot_Tables_Performance!$C$10">
          <xdr:nvSpPr>
            <xdr:cNvPr id="156" name="TextBox 155">
              <a:extLst>
                <a:ext uri="{FF2B5EF4-FFF2-40B4-BE49-F238E27FC236}">
                  <a16:creationId xmlns:a16="http://schemas.microsoft.com/office/drawing/2014/main" id="{235F8AF0-8ACC-FAC7-E3E5-CD6B308528A7}"/>
                </a:ext>
              </a:extLst>
            </xdr:cNvPr>
            <xdr:cNvSpPr txBox="1"/>
          </xdr:nvSpPr>
          <xdr:spPr>
            <a:xfrm>
              <a:off x="4415883" y="6694729"/>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02051AC-F954-4396-91AF-FDC2E6D5BA28}" type="TxLink">
                <a:rPr lang="en-US" sz="1100" b="0" i="0" u="none" strike="noStrike">
                  <a:solidFill>
                    <a:schemeClr val="bg1"/>
                  </a:solidFill>
                  <a:latin typeface="Arial Black" panose="020B0A04020102020204" pitchFamily="34" charset="0"/>
                </a:rPr>
                <a:pPr algn="l"/>
                <a:t>3</a:t>
              </a:fld>
              <a:endParaRPr lang="en-NG" sz="1100">
                <a:solidFill>
                  <a:schemeClr val="bg1"/>
                </a:solidFill>
                <a:latin typeface="Arial Black" panose="020B0A04020102020204" pitchFamily="34" charset="0"/>
              </a:endParaRPr>
            </a:p>
          </xdr:txBody>
        </xdr:sp>
        <xdr:sp macro="[0]!HideShow" textlink="Pivot_Tables_Performance!$C$6">
          <xdr:nvSpPr>
            <xdr:cNvPr id="157" name="TextBox 156">
              <a:extLst>
                <a:ext uri="{FF2B5EF4-FFF2-40B4-BE49-F238E27FC236}">
                  <a16:creationId xmlns:a16="http://schemas.microsoft.com/office/drawing/2014/main" id="{E6FD5702-A438-E702-EC55-F47468D991EC}"/>
                </a:ext>
              </a:extLst>
            </xdr:cNvPr>
            <xdr:cNvSpPr txBox="1"/>
          </xdr:nvSpPr>
          <xdr:spPr>
            <a:xfrm>
              <a:off x="4415883" y="5917621"/>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CEF31C4-5F19-4B5A-9127-5E8FF327E2A4}" type="TxLink">
                <a:rPr lang="en-US" sz="1100" b="0" i="0" u="none" strike="noStrike">
                  <a:solidFill>
                    <a:schemeClr val="bg1"/>
                  </a:solidFill>
                  <a:latin typeface="Arial Black" panose="020B0A04020102020204" pitchFamily="34" charset="0"/>
                </a:rPr>
                <a:pPr algn="l"/>
                <a:t>3</a:t>
              </a:fld>
              <a:endParaRPr lang="en-NG" sz="1100">
                <a:solidFill>
                  <a:schemeClr val="bg1"/>
                </a:solidFill>
                <a:latin typeface="Arial Black" panose="020B0A04020102020204" pitchFamily="34" charset="0"/>
              </a:endParaRPr>
            </a:p>
          </xdr:txBody>
        </xdr:sp>
        <xdr:sp macro="[0]!HideShow" textlink="Pivot_Tables_Performance!$C$9">
          <xdr:nvSpPr>
            <xdr:cNvPr id="158" name="TextBox 157">
              <a:extLst>
                <a:ext uri="{FF2B5EF4-FFF2-40B4-BE49-F238E27FC236}">
                  <a16:creationId xmlns:a16="http://schemas.microsoft.com/office/drawing/2014/main" id="{A5694908-A90E-59A1-E7B6-6AF8EDE622D9}"/>
                </a:ext>
              </a:extLst>
            </xdr:cNvPr>
            <xdr:cNvSpPr txBox="1"/>
          </xdr:nvSpPr>
          <xdr:spPr>
            <a:xfrm>
              <a:off x="4415883" y="6500452"/>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39EDAA5-8512-4C27-9E4F-14AE5EF836DB}" type="TxLink">
                <a:rPr lang="en-US" sz="1100" b="0" i="0" u="none" strike="noStrike">
                  <a:solidFill>
                    <a:schemeClr val="bg1"/>
                  </a:solidFill>
                  <a:latin typeface="Arial Black" panose="020B0A04020102020204" pitchFamily="34" charset="0"/>
                </a:rPr>
                <a:pPr algn="l"/>
                <a:t>3</a:t>
              </a:fld>
              <a:endParaRPr lang="en-NG" sz="1100">
                <a:solidFill>
                  <a:schemeClr val="bg1"/>
                </a:solidFill>
                <a:latin typeface="Arial Black" panose="020B0A04020102020204" pitchFamily="34" charset="0"/>
              </a:endParaRPr>
            </a:p>
          </xdr:txBody>
        </xdr:sp>
        <xdr:sp macro="[0]!HideShow" textlink="Pivot_Tables_Performance!$C$7">
          <xdr:nvSpPr>
            <xdr:cNvPr id="159" name="TextBox 158">
              <a:extLst>
                <a:ext uri="{FF2B5EF4-FFF2-40B4-BE49-F238E27FC236}">
                  <a16:creationId xmlns:a16="http://schemas.microsoft.com/office/drawing/2014/main" id="{D50D327F-5E7E-7B84-D80C-4DE38C50D92F}"/>
                </a:ext>
              </a:extLst>
            </xdr:cNvPr>
            <xdr:cNvSpPr txBox="1"/>
          </xdr:nvSpPr>
          <xdr:spPr>
            <a:xfrm>
              <a:off x="4415883" y="6111898"/>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232EE46-1709-4B34-B62F-94DDD0E42796}" type="TxLink">
                <a:rPr lang="en-US" sz="1100" b="0" i="0" u="none" strike="noStrike">
                  <a:solidFill>
                    <a:schemeClr val="bg1"/>
                  </a:solidFill>
                  <a:latin typeface="Arial Black" panose="020B0A04020102020204" pitchFamily="34" charset="0"/>
                </a:rPr>
                <a:pPr algn="l"/>
                <a:t>3</a:t>
              </a:fld>
              <a:endParaRPr lang="en-NG" sz="1100">
                <a:solidFill>
                  <a:schemeClr val="bg1"/>
                </a:solidFill>
                <a:latin typeface="Arial Black" panose="020B0A04020102020204" pitchFamily="34" charset="0"/>
              </a:endParaRPr>
            </a:p>
          </xdr:txBody>
        </xdr:sp>
        <xdr:sp macro="[0]!HideShow" textlink="Pivot_Tables_Performance!$C$8">
          <xdr:nvSpPr>
            <xdr:cNvPr id="160" name="TextBox 159">
              <a:extLst>
                <a:ext uri="{FF2B5EF4-FFF2-40B4-BE49-F238E27FC236}">
                  <a16:creationId xmlns:a16="http://schemas.microsoft.com/office/drawing/2014/main" id="{EAB9CA40-CE47-05CC-C6E4-8344C1B9DE03}"/>
                </a:ext>
              </a:extLst>
            </xdr:cNvPr>
            <xdr:cNvSpPr txBox="1"/>
          </xdr:nvSpPr>
          <xdr:spPr>
            <a:xfrm>
              <a:off x="4415883" y="6306175"/>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F52B11E-E58F-481C-9B19-2C066B496130}" type="TxLink">
                <a:rPr lang="en-US" sz="1100" b="0" i="0" u="none" strike="noStrike">
                  <a:solidFill>
                    <a:schemeClr val="bg1"/>
                  </a:solidFill>
                  <a:latin typeface="Arial Black" panose="020B0A04020102020204" pitchFamily="34" charset="0"/>
                </a:rPr>
                <a:pPr algn="l"/>
                <a:t>3</a:t>
              </a:fld>
              <a:endParaRPr lang="en-NG" sz="1100">
                <a:solidFill>
                  <a:schemeClr val="bg1"/>
                </a:solidFill>
                <a:latin typeface="Arial Black" panose="020B0A04020102020204" pitchFamily="34" charset="0"/>
              </a:endParaRPr>
            </a:p>
          </xdr:txBody>
        </xdr:sp>
        <xdr:sp macro="[0]!HideShow" textlink="Pivot_Tables_Performance!$C$11">
          <xdr:nvSpPr>
            <xdr:cNvPr id="166" name="TextBox 165">
              <a:extLst>
                <a:ext uri="{FF2B5EF4-FFF2-40B4-BE49-F238E27FC236}">
                  <a16:creationId xmlns:a16="http://schemas.microsoft.com/office/drawing/2014/main" id="{86C9ED47-6D9E-351D-C7D9-661300972568}"/>
                </a:ext>
              </a:extLst>
            </xdr:cNvPr>
            <xdr:cNvSpPr txBox="1"/>
          </xdr:nvSpPr>
          <xdr:spPr>
            <a:xfrm>
              <a:off x="4415883" y="6889005"/>
              <a:ext cx="838143" cy="176103"/>
            </a:xfrm>
            <a:prstGeom prst="rect">
              <a:avLst/>
            </a:prstGeom>
            <a:gradFill flip="none" rotWithShape="1">
              <a:gsLst>
                <a:gs pos="32000">
                  <a:schemeClr val="accent2">
                    <a:lumMod val="50000"/>
                  </a:schemeClr>
                </a:gs>
                <a:gs pos="92000">
                  <a:schemeClr val="accent2">
                    <a:lumMod val="62000"/>
                    <a:lumOff val="38000"/>
                  </a:schemeClr>
                </a:gs>
              </a:gsLst>
              <a:lin ang="3000000" scaled="0"/>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050106A-3E8D-47E5-889A-F9F573EED869}" type="TxLink">
                <a:rPr lang="en-US" sz="1100" b="0" i="0" u="none" strike="noStrike">
                  <a:solidFill>
                    <a:schemeClr val="bg1"/>
                  </a:solidFill>
                  <a:latin typeface="Arial Black" panose="020B0A04020102020204" pitchFamily="34" charset="0"/>
                </a:rPr>
                <a:pPr algn="l"/>
                <a:t>3</a:t>
              </a:fld>
              <a:endParaRPr lang="en-NG" sz="1100">
                <a:solidFill>
                  <a:schemeClr val="bg1"/>
                </a:solidFill>
                <a:latin typeface="Arial Black" panose="020B0A04020102020204" pitchFamily="34" charset="0"/>
              </a:endParaRPr>
            </a:p>
          </xdr:txBody>
        </xdr:sp>
      </xdr:grpSp>
      <xdr:graphicFrame macro="[0]!HideShow">
        <xdr:nvGraphicFramePr>
          <xdr:cNvPr id="167" name="Chart 166">
            <a:extLst>
              <a:ext uri="{FF2B5EF4-FFF2-40B4-BE49-F238E27FC236}">
                <a16:creationId xmlns:a16="http://schemas.microsoft.com/office/drawing/2014/main" id="{43AF3212-E6AB-07E9-8932-7A8AB4A2BAF0}"/>
              </a:ext>
            </a:extLst>
          </xdr:cNvPr>
          <xdr:cNvGraphicFramePr>
            <a:graphicFrameLocks/>
          </xdr:cNvGraphicFramePr>
        </xdr:nvGraphicFramePr>
        <xdr:xfrm>
          <a:off x="4421099" y="5718474"/>
          <a:ext cx="1232521" cy="2020828"/>
        </xdr:xfrm>
        <a:graphic>
          <a:graphicData uri="http://schemas.openxmlformats.org/drawingml/2006/chart">
            <c:chart xmlns:c="http://schemas.openxmlformats.org/drawingml/2006/chart" xmlns:r="http://schemas.openxmlformats.org/officeDocument/2006/relationships" r:id="rId20"/>
          </a:graphicData>
        </a:graphic>
      </xdr:graphicFrame>
    </xdr:grpSp>
    <xdr:clientData/>
  </xdr:twoCellAnchor>
  <xdr:twoCellAnchor>
    <xdr:from>
      <xdr:col>11</xdr:col>
      <xdr:colOff>239961</xdr:colOff>
      <xdr:row>19</xdr:row>
      <xdr:rowOff>89963</xdr:rowOff>
    </xdr:from>
    <xdr:to>
      <xdr:col>12</xdr:col>
      <xdr:colOff>514350</xdr:colOff>
      <xdr:row>22</xdr:row>
      <xdr:rowOff>166163</xdr:rowOff>
    </xdr:to>
    <xdr:grpSp>
      <xdr:nvGrpSpPr>
        <xdr:cNvPr id="8256" name="Bestbtn" hidden="1">
          <a:extLst>
            <a:ext uri="{FF2B5EF4-FFF2-40B4-BE49-F238E27FC236}">
              <a16:creationId xmlns:a16="http://schemas.microsoft.com/office/drawing/2014/main" id="{A14B09CD-1B9D-4B78-3430-0C95161EBA44}"/>
            </a:ext>
          </a:extLst>
        </xdr:cNvPr>
        <xdr:cNvGrpSpPr/>
      </xdr:nvGrpSpPr>
      <xdr:grpSpPr>
        <a:xfrm>
          <a:off x="6387301" y="3555442"/>
          <a:ext cx="882368" cy="623381"/>
          <a:chOff x="5478711" y="4972050"/>
          <a:chExt cx="864939" cy="606300"/>
        </a:xfrm>
      </xdr:grpSpPr>
      <xdr:sp macro="" textlink="">
        <xdr:nvSpPr>
          <xdr:cNvPr id="21" name="Bestbtn" hidden="1">
            <a:extLst>
              <a:ext uri="{FF2B5EF4-FFF2-40B4-BE49-F238E27FC236}">
                <a16:creationId xmlns:a16="http://schemas.microsoft.com/office/drawing/2014/main" id="{FA54930E-922B-11DC-9E7D-35CFA610C59C}"/>
              </a:ext>
            </a:extLst>
          </xdr:cNvPr>
          <xdr:cNvSpPr/>
        </xdr:nvSpPr>
        <xdr:spPr>
          <a:xfrm>
            <a:off x="5478711" y="4972050"/>
            <a:ext cx="864939" cy="603250"/>
          </a:xfrm>
          <a:prstGeom prst="triangle">
            <a:avLst/>
          </a:prstGeom>
          <a:solidFill>
            <a:schemeClr val="accent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0]!HideShow" textlink="">
        <xdr:nvSpPr>
          <xdr:cNvPr id="34" name="TextBox 33" hidden="1">
            <a:extLst>
              <a:ext uri="{FF2B5EF4-FFF2-40B4-BE49-F238E27FC236}">
                <a16:creationId xmlns:a16="http://schemas.microsoft.com/office/drawing/2014/main" id="{C80F1F1F-6C46-49F4-AAD0-851C10828FB3}"/>
              </a:ext>
            </a:extLst>
          </xdr:cNvPr>
          <xdr:cNvSpPr txBox="1"/>
        </xdr:nvSpPr>
        <xdr:spPr>
          <a:xfrm>
            <a:off x="5492856" y="5184206"/>
            <a:ext cx="844444" cy="394144"/>
          </a:xfrm>
          <a:prstGeom prst="rect">
            <a:avLst/>
          </a:prstGeom>
          <a:noFill/>
          <a:ln w="9525" cmpd="sng">
            <a:noFill/>
          </a:ln>
          <a:effectLst>
            <a:outerShdw blurRad="50800" dist="50800" dir="5400000" sx="2000" sy="2000" algn="ctr" rotWithShape="0">
              <a:srgbClr val="FFFF00">
                <a:alpha val="9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b="1">
                <a:solidFill>
                  <a:schemeClr val="bg1"/>
                </a:solidFill>
                <a:latin typeface="Times New Roman" panose="02020603050405020304" pitchFamily="18" charset="0"/>
                <a:cs typeface="Times New Roman" panose="02020603050405020304" pitchFamily="18" charset="0"/>
              </a:rPr>
              <a:t>Best Perfomance</a:t>
            </a:r>
            <a:endParaRPr lang="en-NG" sz="1000" b="1">
              <a:solidFill>
                <a:schemeClr val="bg1"/>
              </a:solidFill>
              <a:latin typeface="Times New Roman" panose="02020603050405020304" pitchFamily="18" charset="0"/>
              <a:cs typeface="Times New Roman" panose="02020603050405020304" pitchFamily="18" charset="0"/>
            </a:endParaRPr>
          </a:p>
        </xdr:txBody>
      </xdr:sp>
    </xdr:grpSp>
    <xdr:clientData/>
  </xdr:twoCellAnchor>
  <xdr:twoCellAnchor>
    <xdr:from>
      <xdr:col>11</xdr:col>
      <xdr:colOff>246311</xdr:colOff>
      <xdr:row>19</xdr:row>
      <xdr:rowOff>89963</xdr:rowOff>
    </xdr:from>
    <xdr:to>
      <xdr:col>12</xdr:col>
      <xdr:colOff>514350</xdr:colOff>
      <xdr:row>22</xdr:row>
      <xdr:rowOff>148056</xdr:rowOff>
    </xdr:to>
    <xdr:grpSp>
      <xdr:nvGrpSpPr>
        <xdr:cNvPr id="191" name="Worsebtn">
          <a:extLst>
            <a:ext uri="{FF2B5EF4-FFF2-40B4-BE49-F238E27FC236}">
              <a16:creationId xmlns:a16="http://schemas.microsoft.com/office/drawing/2014/main" id="{0A46F398-54A1-2C3A-F8EF-FC7DAF6651BD}"/>
            </a:ext>
          </a:extLst>
        </xdr:cNvPr>
        <xdr:cNvGrpSpPr/>
      </xdr:nvGrpSpPr>
      <xdr:grpSpPr>
        <a:xfrm>
          <a:off x="6393651" y="3555442"/>
          <a:ext cx="876018" cy="605274"/>
          <a:chOff x="4246811" y="5302250"/>
          <a:chExt cx="877639" cy="610543"/>
        </a:xfrm>
      </xdr:grpSpPr>
      <xdr:sp macro="[0]!HideShow" textlink="">
        <xdr:nvSpPr>
          <xdr:cNvPr id="190" name="Worsebtn">
            <a:extLst>
              <a:ext uri="{FF2B5EF4-FFF2-40B4-BE49-F238E27FC236}">
                <a16:creationId xmlns:a16="http://schemas.microsoft.com/office/drawing/2014/main" id="{FBD24FC9-8E33-FE4D-357D-3B5B522B48DC}"/>
              </a:ext>
            </a:extLst>
          </xdr:cNvPr>
          <xdr:cNvSpPr/>
        </xdr:nvSpPr>
        <xdr:spPr>
          <a:xfrm>
            <a:off x="4246811" y="5302250"/>
            <a:ext cx="864939" cy="603250"/>
          </a:xfrm>
          <a:prstGeom prst="triangle">
            <a:avLst/>
          </a:prstGeom>
          <a:solidFill>
            <a:schemeClr val="accent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sp macro="[0]!HideShow" textlink="">
        <xdr:nvSpPr>
          <xdr:cNvPr id="35" name="TextBox 34">
            <a:extLst>
              <a:ext uri="{FF2B5EF4-FFF2-40B4-BE49-F238E27FC236}">
                <a16:creationId xmlns:a16="http://schemas.microsoft.com/office/drawing/2014/main" id="{B44CC114-5926-C017-21F6-1CA434FC75A5}"/>
              </a:ext>
            </a:extLst>
          </xdr:cNvPr>
          <xdr:cNvSpPr txBox="1"/>
        </xdr:nvSpPr>
        <xdr:spPr>
          <a:xfrm>
            <a:off x="4280006" y="5518649"/>
            <a:ext cx="844444" cy="394144"/>
          </a:xfrm>
          <a:prstGeom prst="rect">
            <a:avLst/>
          </a:prstGeom>
          <a:noFill/>
          <a:ln w="9525" cmpd="sng">
            <a:noFill/>
          </a:ln>
          <a:effectLst>
            <a:outerShdw blurRad="50800" dist="50800" dir="5400000" sx="2000" sy="2000" algn="ctr" rotWithShape="0">
              <a:srgbClr val="FFFF00">
                <a:alpha val="9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b="1">
                <a:solidFill>
                  <a:schemeClr val="bg1"/>
                </a:solidFill>
                <a:latin typeface="Times New Roman" panose="02020603050405020304" pitchFamily="18" charset="0"/>
                <a:cs typeface="Times New Roman" panose="02020603050405020304" pitchFamily="18" charset="0"/>
              </a:rPr>
              <a:t>Worse Perfomance</a:t>
            </a:r>
            <a:endParaRPr lang="en-NG" sz="1000" b="1">
              <a:solidFill>
                <a:schemeClr val="bg1"/>
              </a:solidFill>
              <a:latin typeface="Times New Roman" panose="02020603050405020304" pitchFamily="18" charset="0"/>
              <a:cs typeface="Times New Roman" panose="02020603050405020304" pitchFamily="18" charset="0"/>
            </a:endParaRPr>
          </a:p>
        </xdr:txBody>
      </xdr:sp>
    </xdr:grpSp>
    <xdr:clientData/>
  </xdr:twoCellAnchor>
  <xdr:twoCellAnchor>
    <xdr:from>
      <xdr:col>7</xdr:col>
      <xdr:colOff>63500</xdr:colOff>
      <xdr:row>1</xdr:row>
      <xdr:rowOff>0</xdr:rowOff>
    </xdr:from>
    <xdr:to>
      <xdr:col>8</xdr:col>
      <xdr:colOff>50800</xdr:colOff>
      <xdr:row>1</xdr:row>
      <xdr:rowOff>158750</xdr:rowOff>
    </xdr:to>
    <xdr:sp macro="[0]!ClearSlicer" textlink="">
      <xdr:nvSpPr>
        <xdr:cNvPr id="32" name="Rectangle: Rounded Corners 31">
          <a:extLst>
            <a:ext uri="{FF2B5EF4-FFF2-40B4-BE49-F238E27FC236}">
              <a16:creationId xmlns:a16="http://schemas.microsoft.com/office/drawing/2014/main" id="{AD81263E-7D6E-2B97-A6EE-7EAF92D7F919}"/>
            </a:ext>
          </a:extLst>
        </xdr:cNvPr>
        <xdr:cNvSpPr/>
      </xdr:nvSpPr>
      <xdr:spPr>
        <a:xfrm>
          <a:off x="3790950" y="184150"/>
          <a:ext cx="596900" cy="158750"/>
        </a:xfrm>
        <a:prstGeom prst="roundRect">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a:latin typeface="Times New Roman" panose="02020603050405020304" pitchFamily="18" charset="0"/>
              <a:cs typeface="Times New Roman" panose="02020603050405020304" pitchFamily="18" charset="0"/>
            </a:rPr>
            <a:t>Unfilter</a:t>
          </a:r>
          <a:endParaRPr lang="en-NG" sz="900" b="1">
            <a:latin typeface="Times New Roman" panose="02020603050405020304" pitchFamily="18" charset="0"/>
            <a:cs typeface="Times New Roman" panose="02020603050405020304" pitchFamily="18" charset="0"/>
          </a:endParaRPr>
        </a:p>
      </xdr:txBody>
    </xdr:sp>
    <xdr:clientData/>
  </xdr:twoCellAnchor>
  <xdr:twoCellAnchor>
    <xdr:from>
      <xdr:col>9</xdr:col>
      <xdr:colOff>177800</xdr:colOff>
      <xdr:row>0</xdr:row>
      <xdr:rowOff>133350</xdr:rowOff>
    </xdr:from>
    <xdr:to>
      <xdr:col>11</xdr:col>
      <xdr:colOff>285750</xdr:colOff>
      <xdr:row>1</xdr:row>
      <xdr:rowOff>139700</xdr:rowOff>
    </xdr:to>
    <xdr:sp macro="" textlink="">
      <xdr:nvSpPr>
        <xdr:cNvPr id="43" name="TextBox 42">
          <a:extLst>
            <a:ext uri="{FF2B5EF4-FFF2-40B4-BE49-F238E27FC236}">
              <a16:creationId xmlns:a16="http://schemas.microsoft.com/office/drawing/2014/main" id="{138DC703-7CFC-2D9C-C63D-9EBD367051A0}"/>
            </a:ext>
          </a:extLst>
        </xdr:cNvPr>
        <xdr:cNvSpPr txBox="1">
          <a:spLocks noChangeAspect="1"/>
        </xdr:cNvSpPr>
      </xdr:nvSpPr>
      <xdr:spPr>
        <a:xfrm>
          <a:off x="5124450" y="133350"/>
          <a:ext cx="13271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1">
              <a:solidFill>
                <a:srgbClr val="C00000"/>
              </a:solidFill>
              <a:latin typeface="Times New Roman" panose="02020603050405020304" pitchFamily="18" charset="0"/>
              <a:cs typeface="Times New Roman" panose="02020603050405020304" pitchFamily="18" charset="0"/>
            </a:rPr>
            <a:t>Filter</a:t>
          </a:r>
          <a:r>
            <a:rPr lang="en-GB" sz="1050" b="1" baseline="0">
              <a:solidFill>
                <a:srgbClr val="C00000"/>
              </a:solidFill>
              <a:latin typeface="Times New Roman" panose="02020603050405020304" pitchFamily="18" charset="0"/>
              <a:cs typeface="Times New Roman" panose="02020603050405020304" pitchFamily="18" charset="0"/>
            </a:rPr>
            <a:t> by Manager</a:t>
          </a:r>
          <a:endParaRPr lang="en-NG" sz="105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133350</xdr:colOff>
      <xdr:row>0</xdr:row>
      <xdr:rowOff>133350</xdr:rowOff>
    </xdr:from>
    <xdr:to>
      <xdr:col>17</xdr:col>
      <xdr:colOff>241300</xdr:colOff>
      <xdr:row>1</xdr:row>
      <xdr:rowOff>139700</xdr:rowOff>
    </xdr:to>
    <xdr:sp macro="" textlink="">
      <xdr:nvSpPr>
        <xdr:cNvPr id="70" name="TextBox 69">
          <a:extLst>
            <a:ext uri="{FF2B5EF4-FFF2-40B4-BE49-F238E27FC236}">
              <a16:creationId xmlns:a16="http://schemas.microsoft.com/office/drawing/2014/main" id="{5F829182-6E6F-5618-EF00-90B2D2D6702D}"/>
            </a:ext>
          </a:extLst>
        </xdr:cNvPr>
        <xdr:cNvSpPr txBox="1">
          <a:spLocks noChangeAspect="1"/>
        </xdr:cNvSpPr>
      </xdr:nvSpPr>
      <xdr:spPr>
        <a:xfrm>
          <a:off x="8737600" y="133350"/>
          <a:ext cx="13271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1">
              <a:solidFill>
                <a:srgbClr val="C00000"/>
              </a:solidFill>
              <a:latin typeface="Times New Roman" panose="02020603050405020304" pitchFamily="18" charset="0"/>
              <a:cs typeface="Times New Roman" panose="02020603050405020304" pitchFamily="18" charset="0"/>
            </a:rPr>
            <a:t>Filter</a:t>
          </a:r>
          <a:r>
            <a:rPr lang="en-GB" sz="1050" b="1" baseline="0">
              <a:solidFill>
                <a:srgbClr val="C00000"/>
              </a:solidFill>
              <a:latin typeface="Times New Roman" panose="02020603050405020304" pitchFamily="18" charset="0"/>
              <a:cs typeface="Times New Roman" panose="02020603050405020304" pitchFamily="18" charset="0"/>
            </a:rPr>
            <a:t> by Year</a:t>
          </a:r>
          <a:endParaRPr lang="en-NG" sz="1050" b="1">
            <a:solidFill>
              <a:srgbClr val="C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16</xdr:col>
      <xdr:colOff>6350</xdr:colOff>
      <xdr:row>11</xdr:row>
      <xdr:rowOff>168990</xdr:rowOff>
    </xdr:from>
    <xdr:to>
      <xdr:col>16</xdr:col>
      <xdr:colOff>222250</xdr:colOff>
      <xdr:row>13</xdr:row>
      <xdr:rowOff>16590</xdr:rowOff>
    </xdr:to>
    <xdr:pic>
      <xdr:nvPicPr>
        <xdr:cNvPr id="90" name="Picture 89">
          <a:extLst>
            <a:ext uri="{FF2B5EF4-FFF2-40B4-BE49-F238E27FC236}">
              <a16:creationId xmlns:a16="http://schemas.microsoft.com/office/drawing/2014/main" id="{47782C6A-8A8F-416F-A2AF-6707FEF5ABD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9220200" y="2194640"/>
          <a:ext cx="215900" cy="215900"/>
        </a:xfrm>
        <a:prstGeom prst="rect">
          <a:avLst/>
        </a:prstGeom>
      </xdr:spPr>
    </xdr:pic>
    <xdr:clientData/>
  </xdr:twoCellAnchor>
  <xdr:twoCellAnchor editAs="oneCell">
    <xdr:from>
      <xdr:col>16</xdr:col>
      <xdr:colOff>6350</xdr:colOff>
      <xdr:row>9</xdr:row>
      <xdr:rowOff>152400</xdr:rowOff>
    </xdr:from>
    <xdr:to>
      <xdr:col>16</xdr:col>
      <xdr:colOff>316795</xdr:colOff>
      <xdr:row>11</xdr:row>
      <xdr:rowOff>63500</xdr:rowOff>
    </xdr:to>
    <xdr:pic>
      <xdr:nvPicPr>
        <xdr:cNvPr id="131" name="Picture 130">
          <a:extLst>
            <a:ext uri="{FF2B5EF4-FFF2-40B4-BE49-F238E27FC236}">
              <a16:creationId xmlns:a16="http://schemas.microsoft.com/office/drawing/2014/main" id="{128FA6EC-F6DC-4C00-8637-C4B2296CE76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9220200" y="1809750"/>
          <a:ext cx="310445" cy="279400"/>
        </a:xfrm>
        <a:prstGeom prst="rect">
          <a:avLst/>
        </a:prstGeom>
      </xdr:spPr>
    </xdr:pic>
    <xdr:clientData/>
  </xdr:twoCellAnchor>
  <xdr:twoCellAnchor editAs="oneCell">
    <xdr:from>
      <xdr:col>13</xdr:col>
      <xdr:colOff>107950</xdr:colOff>
      <xdr:row>10</xdr:row>
      <xdr:rowOff>5710</xdr:rowOff>
    </xdr:from>
    <xdr:to>
      <xdr:col>13</xdr:col>
      <xdr:colOff>355600</xdr:colOff>
      <xdr:row>11</xdr:row>
      <xdr:rowOff>69210</xdr:rowOff>
    </xdr:to>
    <xdr:pic>
      <xdr:nvPicPr>
        <xdr:cNvPr id="132" name="Picture 131">
          <a:extLst>
            <a:ext uri="{FF2B5EF4-FFF2-40B4-BE49-F238E27FC236}">
              <a16:creationId xmlns:a16="http://schemas.microsoft.com/office/drawing/2014/main" id="{4935415C-4C3B-46CC-86C7-84186C47613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7493000" y="1847210"/>
          <a:ext cx="247650" cy="247650"/>
        </a:xfrm>
        <a:prstGeom prst="rect">
          <a:avLst/>
        </a:prstGeom>
      </xdr:spPr>
    </xdr:pic>
    <xdr:clientData/>
  </xdr:twoCellAnchor>
  <xdr:twoCellAnchor editAs="oneCell">
    <xdr:from>
      <xdr:col>13</xdr:col>
      <xdr:colOff>107950</xdr:colOff>
      <xdr:row>11</xdr:row>
      <xdr:rowOff>121440</xdr:rowOff>
    </xdr:from>
    <xdr:to>
      <xdr:col>13</xdr:col>
      <xdr:colOff>438150</xdr:colOff>
      <xdr:row>13</xdr:row>
      <xdr:rowOff>83340</xdr:rowOff>
    </xdr:to>
    <xdr:pic>
      <xdr:nvPicPr>
        <xdr:cNvPr id="133" name="Picture 132">
          <a:extLst>
            <a:ext uri="{FF2B5EF4-FFF2-40B4-BE49-F238E27FC236}">
              <a16:creationId xmlns:a16="http://schemas.microsoft.com/office/drawing/2014/main" id="{2630A787-707E-434F-95AC-D2F772D6067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7493000" y="2147090"/>
          <a:ext cx="330200" cy="330200"/>
        </a:xfrm>
        <a:prstGeom prst="rect">
          <a:avLst/>
        </a:prstGeom>
      </xdr:spPr>
    </xdr:pic>
    <xdr:clientData/>
  </xdr:twoCellAnchor>
  <xdr:twoCellAnchor editAs="oneCell">
    <xdr:from>
      <xdr:col>1</xdr:col>
      <xdr:colOff>334142</xdr:colOff>
      <xdr:row>25</xdr:row>
      <xdr:rowOff>4959</xdr:rowOff>
    </xdr:from>
    <xdr:to>
      <xdr:col>1</xdr:col>
      <xdr:colOff>571500</xdr:colOff>
      <xdr:row>26</xdr:row>
      <xdr:rowOff>156260</xdr:rowOff>
    </xdr:to>
    <xdr:pic>
      <xdr:nvPicPr>
        <xdr:cNvPr id="170" name="Picture 169">
          <a:extLst>
            <a:ext uri="{FF2B5EF4-FFF2-40B4-BE49-F238E27FC236}">
              <a16:creationId xmlns:a16="http://schemas.microsoft.com/office/drawing/2014/main" id="{2BFB6C96-5D20-1C4F-87AD-17C70909B5B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flipH="1">
          <a:off x="403992" y="4608709"/>
          <a:ext cx="237358" cy="335451"/>
        </a:xfrm>
        <a:prstGeom prst="rect">
          <a:avLst/>
        </a:prstGeom>
      </xdr:spPr>
    </xdr:pic>
    <xdr:clientData/>
  </xdr:twoCellAnchor>
  <xdr:twoCellAnchor editAs="oneCell">
    <xdr:from>
      <xdr:col>2</xdr:col>
      <xdr:colOff>375167</xdr:colOff>
      <xdr:row>25</xdr:row>
      <xdr:rowOff>91820</xdr:rowOff>
    </xdr:from>
    <xdr:to>
      <xdr:col>3</xdr:col>
      <xdr:colOff>14157</xdr:colOff>
      <xdr:row>26</xdr:row>
      <xdr:rowOff>156260</xdr:rowOff>
    </xdr:to>
    <xdr:pic>
      <xdr:nvPicPr>
        <xdr:cNvPr id="8262" name="Picture 8261">
          <a:hlinkClick xmlns:r="http://schemas.openxmlformats.org/officeDocument/2006/relationships" r:id="rId26"/>
          <a:extLst>
            <a:ext uri="{FF2B5EF4-FFF2-40B4-BE49-F238E27FC236}">
              <a16:creationId xmlns:a16="http://schemas.microsoft.com/office/drawing/2014/main" id="{2DDB4408-C0CD-4950-9C22-90992724D419}"/>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1054617" y="4695570"/>
          <a:ext cx="248590" cy="248590"/>
        </a:xfrm>
        <a:prstGeom prst="rect">
          <a:avLst/>
        </a:prstGeom>
      </xdr:spPr>
    </xdr:pic>
    <xdr:clientData/>
  </xdr:twoCellAnchor>
  <xdr:twoCellAnchor editAs="oneCell">
    <xdr:from>
      <xdr:col>4</xdr:col>
      <xdr:colOff>546100</xdr:colOff>
      <xdr:row>25</xdr:row>
      <xdr:rowOff>45210</xdr:rowOff>
    </xdr:from>
    <xdr:to>
      <xdr:col>5</xdr:col>
      <xdr:colOff>231700</xdr:colOff>
      <xdr:row>26</xdr:row>
      <xdr:rowOff>156260</xdr:rowOff>
    </xdr:to>
    <xdr:pic>
      <xdr:nvPicPr>
        <xdr:cNvPr id="8263" name="Picture 8262">
          <a:hlinkClick xmlns:r="http://schemas.openxmlformats.org/officeDocument/2006/relationships" r:id="rId28"/>
          <a:extLst>
            <a:ext uri="{FF2B5EF4-FFF2-40B4-BE49-F238E27FC236}">
              <a16:creationId xmlns:a16="http://schemas.microsoft.com/office/drawing/2014/main" id="{6A213F3E-3AFD-4E9A-A7AA-1A1CE263558E}"/>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2444750" y="4648960"/>
          <a:ext cx="295200" cy="295200"/>
        </a:xfrm>
        <a:prstGeom prst="rect">
          <a:avLst/>
        </a:prstGeom>
      </xdr:spPr>
    </xdr:pic>
    <xdr:clientData/>
  </xdr:twoCellAnchor>
  <xdr:twoCellAnchor editAs="oneCell">
    <xdr:from>
      <xdr:col>3</xdr:col>
      <xdr:colOff>427424</xdr:colOff>
      <xdr:row>25</xdr:row>
      <xdr:rowOff>25400</xdr:rowOff>
    </xdr:from>
    <xdr:to>
      <xdr:col>4</xdr:col>
      <xdr:colOff>132834</xdr:colOff>
      <xdr:row>26</xdr:row>
      <xdr:rowOff>156260</xdr:rowOff>
    </xdr:to>
    <xdr:pic>
      <xdr:nvPicPr>
        <xdr:cNvPr id="8264" name="Picture 8263">
          <a:hlinkClick xmlns:r="http://schemas.openxmlformats.org/officeDocument/2006/relationships" r:id="rId30"/>
          <a:extLst>
            <a:ext uri="{FF2B5EF4-FFF2-40B4-BE49-F238E27FC236}">
              <a16:creationId xmlns:a16="http://schemas.microsoft.com/office/drawing/2014/main" id="{EC0789CC-A25C-4B8A-9F79-966EA195B209}"/>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a:xfrm>
          <a:off x="1716474" y="4629150"/>
          <a:ext cx="315010" cy="3150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16</xdr:row>
      <xdr:rowOff>0</xdr:rowOff>
    </xdr:from>
    <xdr:to>
      <xdr:col>19</xdr:col>
      <xdr:colOff>0</xdr:colOff>
      <xdr:row>16</xdr:row>
      <xdr:rowOff>0</xdr:rowOff>
    </xdr:to>
    <xdr:graphicFrame macro="">
      <xdr:nvGraphicFramePr>
        <xdr:cNvPr id="7" name="Chart 6">
          <a:extLst>
            <a:ext uri="{FF2B5EF4-FFF2-40B4-BE49-F238E27FC236}">
              <a16:creationId xmlns:a16="http://schemas.microsoft.com/office/drawing/2014/main" id="{42057BF4-4B64-FDD8-43A0-182E511E8F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16</xdr:row>
      <xdr:rowOff>0</xdr:rowOff>
    </xdr:from>
    <xdr:to>
      <xdr:col>8</xdr:col>
      <xdr:colOff>323850</xdr:colOff>
      <xdr:row>16</xdr:row>
      <xdr:rowOff>0</xdr:rowOff>
    </xdr:to>
    <xdr:graphicFrame macro="">
      <xdr:nvGraphicFramePr>
        <xdr:cNvPr id="9" name="Chart 8">
          <a:extLst>
            <a:ext uri="{FF2B5EF4-FFF2-40B4-BE49-F238E27FC236}">
              <a16:creationId xmlns:a16="http://schemas.microsoft.com/office/drawing/2014/main" id="{09B7AF41-6154-47E5-7E8B-B8E117CD81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Bayan Animal Republic" refreshedDate="45855.499035300927" backgroundQuery="1" createdVersion="3" refreshedVersion="8" minRefreshableVersion="3" recordCount="0" tupleCache="1" supportSubquery="1" supportAdvancedDrill="1" xr:uid="{B72FCB1F-D149-49BC-9A7A-823B4D1C7468}">
  <cacheSource type="external" connectionId="6"/>
  <cacheFields count="5">
    <cacheField name="[Super_Store_data].[State].[State]" caption="State" numFmtId="0" hierarchy="27" level="1">
      <sharedItems count="48">
        <s v="[Super_Store_data].[State].&amp;[California]" c="California"/>
        <s v="[Super_Store_data].[State].&amp;[Florida]" c="Florida"/>
        <s v="[Super_Store_data].[State].&amp;[Alabama]" c="Alabama"/>
        <s v="[Super_Store_data].[State].&amp;[Maryland]" c="Maryland"/>
        <s v="[Super_Store_data].[State].&amp;[Tennessee]" c="Tennessee"/>
        <s v="[Super_Store_data].[State].&amp;[Indiana]" c="Indiana"/>
        <s v="[Super_Store_data].[State].&amp;[Arkansas]" c="Arkansas"/>
        <s v="[Super_Store_data].[State].&amp;[Minnesota]" c="Minnesota"/>
        <s v="[Super_Store_data].[State].&amp;[Wisconsin]" c="Wisconsin"/>
        <s v="[Super_Store_data].[State].&amp;[Nevada]" c="Nevada"/>
        <s v="[Super_Store_data].[State].&amp;[Georgia]" c="Georgia"/>
        <s v="[Super_Store_data].[State].&amp;[Wyoming]" c="Wyoming"/>
        <s v="[Super_Store_data].[State].&amp;[New Jersey]" c="New Jersey"/>
        <s v="[Super_Store_data].[State].&amp;[New Mexico]" c="New Mexico"/>
        <s v="[Super_Store_data].[State].&amp;[Massachusetts]" c="Massachusetts"/>
        <s v="[Super_Store_data].[State].&amp;[Oklahoma]" c="Oklahoma"/>
        <s v="[Super_Store_data].[State].&amp;[Texas]" c="Texas"/>
        <s v="[Super_Store_data].[State].&amp;[New York]" c="New York"/>
        <s v="[Super_Store_data].[State].&amp;[Missouri]" c="Missouri"/>
        <s v="[Super_Store_data].[State].&amp;[Maine]" c="Maine"/>
        <s v="[Super_Store_data].[State].&amp;[Mississippi]" c="Mississippi"/>
        <s v="[Super_Store_data].[State].&amp;[Nebraska]" c="Nebraska"/>
        <s v="[Super_Store_data].[State].&amp;[Washington]" c="Washington"/>
        <s v="[Super_Store_data].[State].&amp;[Rhode Island]" c="Rhode Island"/>
        <s v="[Super_Store_data].[State].&amp;[Idaho]" c="Idaho"/>
        <s v="[Super_Store_data].[State].&amp;[Delaware]" c="Delaware"/>
        <s v="[Super_Store_data].[State].&amp;[Arizona]" c="Arizona"/>
        <s v="[Super_Store_data].[State].&amp;[Kentucky]" c="Kentucky"/>
        <s v="[Super_Store_data].[State].&amp;[New Hampshire]" c="New Hampshire"/>
        <s v="[Super_Store_data].[State].&amp;[Illinois]" c="Illinois"/>
        <s v="[Super_Store_data].[State].&amp;[Oregon]" c="Oregon"/>
        <s v="[Super_Store_data].[State].&amp;[Connecticut]" c="Connecticut"/>
        <s v="[Super_Store_data].[State].&amp;[Colorado]" c="Colorado"/>
        <s v="[Super_Store_data].[State].&amp;[Pennsylvania]" c="Pennsylvania"/>
        <s v="[Super_Store_data].[State].&amp;[Montana]" c="Montana"/>
        <s v="[Super_Store_data].[State].&amp;[West Virginia]" c="West Virginia"/>
        <s v="[Super_Store_data].[State].&amp;[Michigan]" c="Michigan"/>
        <s v="[Super_Store_data].[State].&amp;[Louisiana]" c="Louisiana"/>
        <s v="[Super_Store_data].[State].&amp;[Vermont]" c="Vermont"/>
        <s v="[Super_Store_data].[State].&amp;[District of Columbia]" c="District of Columbia"/>
        <s v="[Super_Store_data].[State].&amp;[South Dakota]" c="South Dakota"/>
        <s v="[Super_Store_data].[State].&amp;[Virginia]" c="Virginia"/>
        <s v="[Super_Store_data].[State].&amp;[South Carolina]" c="South Carolina"/>
        <s v="[Super_Store_data].[State].&amp;[Iowa]" c="Iowa"/>
        <s v="[Super_Store_data].[State].&amp;[Kansas]" c="Kansas"/>
        <s v="[Super_Store_data].[State].&amp;[Ohio]" c="Ohio"/>
        <s v="[Super_Store_data].[State].&amp;[North Carolina]" c="North Carolina"/>
        <s v="[Super_Store_data].[State].&amp;[Utah]" c="Utah"/>
      </sharedItems>
    </cacheField>
    <cacheField name="[Super_Store_data].[Sub-Category].[Sub-Category]" caption="Sub-Category" numFmtId="0" hierarchy="32" level="1">
      <sharedItems count="4">
        <s v="[Super_Store_data].[Sub-Category].&amp;[Bookcases]" c="Bookcases"/>
        <s v="[Super_Store_data].[Sub-Category].&amp;[Furnishings]" c="Furnishings"/>
        <s v="[Super_Store_data].[Sub-Category].&amp;[Tables]" c="Tables"/>
        <s v="[Super_Store_data].[Sub-Category].&amp;[Chairs]" c="Chairs"/>
      </sharedItems>
    </cacheField>
    <cacheField name="[Measures].[MeasuresLevel]" caption="MeasuresLevel" numFmtId="0" hierarchy="12">
      <sharedItems count="1">
        <s v="[Measures].[Total Revenue]" c="Total Revenue"/>
      </sharedItems>
    </cacheField>
    <cacheField name="[Calendar].[Date (Year)].[Date (Year)]" caption="Date (Year)" numFmtId="0" hierarchy="8" level="1">
      <sharedItems count="4">
        <s v="[Calendar].[Date (Year)].&amp;[2014]" c="2014"/>
        <s v="[Calendar].[Date (Year)].&amp;[2016]" c="2016"/>
        <s v="[Calendar].[Date (Year)].&amp;[2015]" c="2015"/>
        <s v="[Calendar].[Date (Year)].&amp;[2017]" c="2017"/>
      </sharedItems>
    </cacheField>
    <cacheField name="[Super_Store_data].[Region].[Region]" caption="Region" numFmtId="0" hierarchy="29" level="1">
      <sharedItems count="4">
        <s v="[Super_Store_data].[Region].&amp;[East]" c="East"/>
        <s v="[Super_Store_data].[Region].&amp;[South]" c="South"/>
        <s v="[Super_Store_data].[Region].&amp;[Central]" c="Central"/>
        <s v="[Super_Store_data].[Region].&amp;[West]" c="West"/>
      </sharedItems>
    </cacheField>
  </cacheFields>
  <cacheHierarchies count="99">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2" memberValueDatatype="20" unbalanced="0"/>
    <cacheHierarchy uniqueName="[Calendar].[Month Name]" caption="Month Name" attribute="1" defaultMemberUniqueName="[Calendar].[Month Name].[All]" allUniqueName="[Calendar].[Month Name].[All]" dimensionUniqueName="[Calendar]" displayFolder="" count="2" memberValueDatatype="130" unbalanced="0"/>
    <cacheHierarchy uniqueName="[Calendar].[Quarter]" caption="Quarter" attribute="1" defaultMemberUniqueName="[Calendar].[Quarter].[All]" allUniqueName="[Calendar].[Quarter].[All]" dimensionUniqueName="[Calendar]" displayFolder="" count="2" memberValueDatatype="130" unbalanced="0"/>
    <cacheHierarchy uniqueName="[Calendar].[YM]" caption="YM" attribute="1" defaultMemberUniqueName="[Calendar].[YM].[All]" allUniqueName="[Calendar].[YM].[All]" dimensionUniqueName="[Calendar]" displayFolder="" count="2" memberValueDatatype="130" unbalanced="0"/>
    <cacheHierarchy uniqueName="[Calendar].[YM index]" caption="YM index" attribute="1" defaultMemberUniqueName="[Calendar].[YM index].[All]" allUniqueName="[Calendar].[YM index].[All]" dimensionUniqueName="[Calendar]" displayFolder="" count="2" memberValueDatatype="130" unbalanced="0"/>
    <cacheHierarchy uniqueName="[Calendar].[Rolling 13]" caption="Rolling 13" attribute="1" defaultMemberUniqueName="[Calendar].[Rolling 13].[All]" allUniqueName="[Calendar].[Rolling 13].[All]" dimensionUniqueName="[Calendar]" displayFolder="" count="2" memberValueDatatype="130" unbalanced="0"/>
    <cacheHierarchy uniqueName="[Calendar].[Date (Year)]" caption="Date (Year)" attribute="1" defaultMemberUniqueName="[Calendar].[Date (Year)].[All]" allUniqueName="[Calendar].[Date (Year)].[All]" allCaption="All" dimensionUniqueName="[Calendar]" displayFolder="" count="2" memberValueDatatype="130" unbalanced="0">
      <fieldsUsage count="2">
        <fieldUsage x="-1"/>
        <fieldUsage x="3"/>
      </fieldsUsage>
    </cacheHierarchy>
    <cacheHierarchy uniqueName="[Calendar].[Date (Quarter)]" caption="Date (Quarter)" attribute="1" defaultMemberUniqueName="[Calendar].[Date (Quarter)].[All]" allUniqueName="[Calendar].[Date (Quarter)].[All]" dimensionUniqueName="[Calendar]" displayFolder="" count="2" memberValueDatatype="130" unbalanced="0"/>
    <cacheHierarchy uniqueName="[Calendar].[Date (Month)]" caption="Date (Month)" attribute="1" defaultMemberUniqueName="[Calendar].[Date (Month)].[All]" allUniqueName="[Calendar].[Date (Month)].[All]" dimensionUniqueName="[Calendar]" displayFolder="" count="2" memberValueDatatype="130" unbalanced="0"/>
    <cacheHierarchy uniqueName="[hCalendar].[Date]" caption="Date" attribute="1" time="1" defaultMemberUniqueName="[hCalendar].[Date].[All]" allUniqueName="[hCalendar].[Date].[All]" dimensionUniqueName="[hCalendar]" displayFolder="" count="2" memberValueDatatype="7" unbalanced="0"/>
    <cacheHierarchy uniqueName="[Measures]" caption="Measures" attribute="1" keyAttribute="1" defaultMemberUniqueName="[Measures].[__No measures defined]" dimensionUniqueName="[Measures]" displayFolder="" measures="1" count="1" memberValueDatatype="130" unbalanced="0">
      <fieldsUsage count="1">
        <fieldUsage x="2"/>
      </fieldsUsage>
    </cacheHierarchy>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2" memberValueDatatype="130" unbalanced="0"/>
    <cacheHierarchy uniqueName="[Returns].[Order ID]" caption="Order ID" attribute="1" defaultMemberUniqueName="[Returns].[Order ID].[All]" allUniqueName="[Returns].[Order ID].[All]" dimensionUniqueName="[Returns]" displayFolder="" count="2" memberValueDatatype="130" unbalanced="0"/>
    <cacheHierarchy uniqueName="[Returns].[Returned]" caption="Returned" attribute="1" defaultMemberUniqueName="[Returns].[Returned].[All]" allUniqueName="[Returns].[Returned].[All]" dimensionUniqueName="[Returns]" displayFolder="" count="2" memberValueDatatype="130" unbalanced="0"/>
    <cacheHierarchy uniqueName="[Super_Store_data].[Row ID]" caption="Row ID" attribute="1" defaultMemberUniqueName="[Super_Store_data].[Row ID].[All]" allUniqueName="[Super_Store_data].[Row ID].[All]" dimensionUniqueName="[Super_Store_data]" displayFolder="" count="2" memberValueDatatype="130" unbalanced="0"/>
    <cacheHierarchy uniqueName="[Super_Store_data].[Order ID]" caption="Order ID" attribute="1" defaultMemberUniqueName="[Super_Store_data].[Order ID].[All]" allUniqueName="[Super_Store_data].[Order ID].[All]" dimensionUniqueName="[Super_Store_data]" displayFolder="" count="2" memberValueDatatype="130" unbalanced="0"/>
    <cacheHierarchy uniqueName="[Super_Store_data].[Order Date]" caption="Order Date" attribute="1" time="1" defaultMemberUniqueName="[Super_Store_data].[Order Date].[All]" allUniqueName="[Super_Store_data].[Order Date].[All]" dimensionUniqueName="[Super_Store_data]" displayFolder="" count="2" memberValueDatatype="7" unbalanced="0"/>
    <cacheHierarchy uniqueName="[Super_Store_data].[Ship Date]" caption="Ship Date" attribute="1" time="1" defaultMemberUniqueName="[Super_Store_data].[Ship Date].[All]" allUniqueName="[Super_Store_data].[Ship Date].[All]" dimensionUniqueName="[Super_Store_data]" displayFolder="" count="2" memberValueDatatype="7" unbalanced="0"/>
    <cacheHierarchy uniqueName="[Super_Store_data].[Ship Mode]" caption="Ship Mode" attribute="1" defaultMemberUniqueName="[Super_Store_data].[Ship Mode].[All]" allUniqueName="[Super_Store_data].[Ship Mode].[All]" dimensionUniqueName="[Super_Store_data]" displayFolder="" count="2" memberValueDatatype="130" unbalanced="0"/>
    <cacheHierarchy uniqueName="[Super_Store_data].[Customer ID]" caption="Customer ID" attribute="1" defaultMemberUniqueName="[Super_Store_data].[Customer ID].[All]" allUniqueName="[Super_Store_data].[Customer ID].[All]" dimensionUniqueName="[Super_Store_data]" displayFolder="" count="2"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2" memberValueDatatype="130" unbalanced="0"/>
    <cacheHierarchy uniqueName="[Super_Store_data].[Segment]" caption="Segment" attribute="1" defaultMemberUniqueName="[Super_Store_data].[Segment].[All]" allUniqueName="[Super_Store_data].[Segment].[All]" dimensionUniqueName="[Super_Store_data]" displayFolder="" count="2" memberValueDatatype="130" unbalanced="0"/>
    <cacheHierarchy uniqueName="[Super_Store_data].[Country]" caption="Country" attribute="1" defaultMemberUniqueName="[Super_Store_data].[Country].[All]" allUniqueName="[Super_Store_data].[Country].[All]" dimensionUniqueName="[Super_Store_data]" displayFolder="" count="2" memberValueDatatype="130" unbalanced="0"/>
    <cacheHierarchy uniqueName="[Super_Store_data].[City]" caption="City" attribute="1" defaultMemberUniqueName="[Super_Store_data].[City].[All]" allUniqueName="[Super_Store_data].[City].[All]" dimensionUniqueName="[Super_Store_data]" displayFolder="" count="2"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0"/>
      </fieldsUsage>
    </cacheHierarchy>
    <cacheHierarchy uniqueName="[Super_Store_data].[Postal Code]" caption="Postal Code" attribute="1" defaultMemberUniqueName="[Super_Store_data].[Postal Code].[All]" allUniqueName="[Super_Store_data].[Postal Code].[All]" dimensionUniqueName="[Super_Store_data]" displayFolder="" count="2" memberValueDatatype="130" unbalanced="0"/>
    <cacheHierarchy uniqueName="[Super_Store_data].[Region]" caption="Region" attribute="1" defaultMemberUniqueName="[Super_Store_data].[Region].[All]" allUniqueName="[Super_Store_data].[Region].[All]" allCaption="All" dimensionUniqueName="[Super_Store_data]" displayFolder="" count="2" memberValueDatatype="130" unbalanced="0">
      <fieldsUsage count="2">
        <fieldUsage x="-1"/>
        <fieldUsage x="4"/>
      </fieldsUsage>
    </cacheHierarchy>
    <cacheHierarchy uniqueName="[Super_Store_data].[Product ID]" caption="Product ID" attribute="1" defaultMemberUniqueName="[Super_Store_data].[Product ID].[All]" allUniqueName="[Super_Store_data].[Product ID].[All]" dimensionUniqueName="[Super_Store_data]" displayFolder="" count="2" memberValueDatatype="130" unbalanced="0"/>
    <cacheHierarchy uniqueName="[Super_Store_data].[Category]" caption="Category" attribute="1" defaultMemberUniqueName="[Super_Store_data].[Category].[All]" allUniqueName="[Super_Store_data].[Category].[All]" dimensionUniqueName="[Super_Store_data]" displayFolder="" count="2" memberValueDatatype="130" unbalanced="0"/>
    <cacheHierarchy uniqueName="[Super_Store_data].[Sub-Category]" caption="Sub-Category" attribute="1" defaultMemberUniqueName="[Super_Store_data].[Sub-Category].[All]" allUniqueName="[Super_Store_data].[Sub-Category].[All]" dimensionUniqueName="[Super_Store_data]" displayFolder="" count="2" memberValueDatatype="130" unbalanced="0">
      <fieldsUsage count="2">
        <fieldUsage x="-1"/>
        <fieldUsage x="1"/>
      </fieldsUsage>
    </cacheHierarchy>
    <cacheHierarchy uniqueName="[Super_Store_data].[Product Name]" caption="Product Name" attribute="1" defaultMemberUniqueName="[Super_Store_data].[Product Name].[All]" allUniqueName="[Super_Store_data].[Product Name].[All]" dimensionUniqueName="[Super_Store_data]" displayFolder="" count="2" memberValueDatatype="130" unbalanced="0"/>
    <cacheHierarchy uniqueName="[Super_Store_data].[Sales]" caption="Sales" attribute="1" defaultMemberUniqueName="[Super_Store_data].[Sales].[All]" allUniqueName="[Super_Store_data].[Sales].[All]" dimensionUniqueName="[Super_Store_data]" displayFolder="" count="2" memberValueDatatype="5" unbalanced="0"/>
    <cacheHierarchy uniqueName="[Super_Store_data].[Quantity]" caption="Quantity" attribute="1" defaultMemberUniqueName="[Super_Store_data].[Quantity].[All]" allUniqueName="[Super_Store_data].[Quantity].[All]" dimensionUniqueName="[Super_Store_data]" displayFolder="" count="2" memberValueDatatype="20" unbalanced="0"/>
    <cacheHierarchy uniqueName="[Super_Store_data].[Discount]" caption="Discount" attribute="1" defaultMemberUniqueName="[Super_Store_data].[Discount].[All]" allUniqueName="[Super_Store_data].[Discount].[All]" dimensionUniqueName="[Super_Store_data]" displayFolder="" count="2" memberValueDatatype="5" unbalanced="0"/>
    <cacheHierarchy uniqueName="[Super_Store_data].[Profit]" caption="Profit" attribute="1" defaultMemberUniqueName="[Super_Store_data].[Profit].[All]" allUniqueName="[Super_Store_data].[Profit].[All]" dimensionUniqueName="[Super_Store_data]" displayFolder="" count="2"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2"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2"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2"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2" memberValueDatatype="130" unbalanced="0"/>
    <cacheHierarchy uniqueName="[View].[View]" caption="View" attribute="1" defaultMemberUniqueName="[View].[View].[All]" allUniqueName="[View].[View].[All]" dimensionUniqueName="[View]" displayFolder="" count="2" memberValueDatatype="130" unbalanced="0"/>
    <cacheHierarchy uniqueName="[Calendar].[Date (Month Index)]" caption="Date (Month Index)" attribute="1" defaultMemberUniqueName="[Calendar].[Date (Month Index)].[All]" allUniqueName="[Calendar].[Date (Month Index)].[All]" dimensionUniqueName="[Calendar]" displayFolder="" count="2"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2"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4"/>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5"/>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8"/>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8"/>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8"/>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tupleCache>
    <entries count="836">
      <n v="114879.9963" in="0">
        <tpls c="3">
          <tpl hier="8" item="0"/>
          <tpl fld="2" item="0"/>
          <tpl fld="1" item="0"/>
        </tpls>
      </n>
      <n v="206965.53200000001" in="0">
        <tpls c="3">
          <tpl hier="8" item="0"/>
          <tpl fld="2" item="0"/>
          <tpl fld="1" item="2"/>
        </tpls>
      </n>
      <n v="11496.71" in="0">
        <tpls c="4">
          <tpl hier="8" item="0"/>
          <tpl fld="2" item="0"/>
          <tpl fld="0" item="5"/>
          <tpl hier="29" item="1"/>
        </tpls>
      </n>
      <n v="673.34400000000005" in="0">
        <tpls c="4">
          <tpl hier="8" item="0"/>
          <tpl fld="2" item="0"/>
          <tpl fld="0" item="35"/>
          <tpl hier="29" item="1"/>
        </tpls>
      </n>
      <n v="324.89999999999998" in="0">
        <tpls c="4">
          <tpl hier="8" item="0"/>
          <tpl fld="2" item="0"/>
          <tpl fld="0" item="40"/>
          <tpl hier="29" item="1"/>
        </tpls>
      </n>
      <n v="13506.732" in="0">
        <tpls c="4">
          <tpl hier="8" item="0"/>
          <tpl fld="2" item="0"/>
          <tpl fld="0" item="4"/>
          <tpl hier="29" item="1"/>
        </tpls>
      </n>
      <n v="3187.55" in="0">
        <tpls c="4">
          <tpl hier="8" item="0"/>
          <tpl fld="2" item="0"/>
          <tpl fld="0" item="6"/>
          <tpl hier="29" item="1"/>
        </tpls>
      </n>
      <n v="24199.145" in="0">
        <tpls c="4">
          <tpl hier="8" item="0"/>
          <tpl fld="2" item="0"/>
          <tpl fld="0" item="45"/>
          <tpl hier="29" item="1"/>
        </tpls>
      </n>
      <n v="111.12" in="0">
        <tpls c="4">
          <tpl hier="8" item="0"/>
          <tpl fld="2" item="0"/>
          <tpl fld="0" item="44"/>
          <tpl hier="29" item="1"/>
        </tpls>
      </n>
      <n v="2642.31" in="0">
        <tpls c="4">
          <tpl hier="8" item="0"/>
          <tpl fld="2" item="0"/>
          <tpl fld="0" item="43"/>
          <tpl hier="29" item="1"/>
        </tpls>
      </n>
      <n v="48020.152000000002" in="0">
        <tpls c="4">
          <tpl hier="8" item="0"/>
          <tpl fld="2" item="0"/>
          <tpl fld="0" item="22"/>
          <tpl hier="29" item="1"/>
        </tpls>
      </n>
      <n v="3078.25" in="0">
        <tpls c="4">
          <tpl hier="8" item="0"/>
          <tpl fld="2" item="0"/>
          <tpl fld="0" item="42"/>
          <tpl hier="29" item="1"/>
        </tpls>
      </n>
      <n v="9149.2530000000006" in="0">
        <tpls c="4">
          <tpl hier="8" item="0"/>
          <tpl fld="2" item="0"/>
          <tpl fld="0" item="3"/>
          <tpl hier="29" item="1"/>
        </tpls>
      </n>
      <n v="2963.03" in="0">
        <tpls c="4">
          <tpl hier="8" item="0"/>
          <tpl fld="2" item="0"/>
          <tpl fld="0" item="37"/>
          <tpl hier="29" item="1"/>
        </tpls>
      </n>
      <n v="1346.58" in="0">
        <tpls c="4">
          <tpl hier="8" item="0"/>
          <tpl fld="2" item="0"/>
          <tpl fld="0" item="39"/>
          <tpl hier="29" item="1"/>
        </tpls>
      </n>
      <n v="5120.1000000000004" in="0">
        <tpls c="4">
          <tpl hier="8" item="0"/>
          <tpl fld="2" item="0"/>
          <tpl fld="0" item="38"/>
          <tpl hier="29" item="1"/>
        </tpls>
      </n>
      <n v="5918.7560000000003" in="0">
        <tpls c="4">
          <tpl hier="8" item="0"/>
          <tpl fld="2" item="0"/>
          <tpl fld="0" item="23"/>
          <tpl hier="29" item="1"/>
        </tpls>
      </n>
      <n v="39354.930999999997" in="0">
        <tpls c="4">
          <tpl hier="8" item="0"/>
          <tpl fld="2" item="0"/>
          <tpl fld="0" item="33"/>
          <tpl hier="29" item="1"/>
        </tpls>
      </n>
      <n v="22987.038" in="0">
        <tpls c="4">
          <tpl hier="8" item="0"/>
          <tpl fld="2" item="0"/>
          <tpl fld="0" item="1"/>
          <tpl hier="29" item="1"/>
        </tpls>
      </n>
      <n v="5174.9870000000001" in="0">
        <tpls c="4">
          <tpl hier="8" item="0"/>
          <tpl fld="2" item="0"/>
          <tpl fld="0" item="31"/>
          <tpl hier="29" item="1"/>
        </tpls>
      </n>
      <n v="6338.13" in="0">
        <tpls c="4">
          <tpl hier="8" item="0"/>
          <tpl fld="2" item="0"/>
          <tpl fld="0" item="30"/>
          <tpl hier="29" item="1"/>
        </tpls>
      </n>
      <n v="13525.290999999999" in="0">
        <tpls c="4">
          <tpl hier="8" item="0"/>
          <tpl fld="2" item="0"/>
          <tpl fld="0" item="26"/>
          <tpl hier="29" item="1"/>
        </tpls>
      </n>
      <n v="93372.729000000007" in="0">
        <tpls c="4">
          <tpl hier="8" item="0"/>
          <tpl fld="2" item="0"/>
          <tpl fld="0" item="17"/>
          <tpl hier="29" item="1"/>
        </tpls>
      </n>
      <n v="1603.136" in="0">
        <tpls c="4">
          <tpl hier="8" item="0"/>
          <tpl fld="2" item="0"/>
          <tpl fld="0" item="11"/>
          <tpl hier="29" item="1"/>
        </tpls>
      </n>
      <n v="1944.7" in="0">
        <tpls c="4">
          <tpl hier="8" item="0"/>
          <tpl fld="2" item="0"/>
          <tpl fld="0" item="21"/>
          <tpl hier="29" item="1"/>
        </tpls>
      </n>
      <n v="4317.8500000000004" in="0">
        <tpls c="4">
          <tpl hier="8" item="0"/>
          <tpl fld="2" item="0"/>
          <tpl fld="0" item="20"/>
          <tpl hier="29" item="1"/>
        </tpls>
      </n>
      <n v="109.48" in="0">
        <tpls c="4">
          <tpl hier="8" item="0"/>
          <tpl fld="2" item="0"/>
          <tpl fld="0" item="19"/>
          <tpl hier="29" item="1"/>
        </tpls>
      </n>
      <n v="2936.45" in="0">
        <tpls c="4">
          <tpl hier="8" item="0"/>
          <tpl fld="2" item="0"/>
          <tpl fld="0" item="18"/>
          <tpl hier="29" item="1"/>
        </tpls>
      </n>
      <n v="60593.291799999999" in="0">
        <tpls c="4">
          <tpl hier="8" item="0"/>
          <tpl fld="2" item="0"/>
          <tpl fld="0" item="16"/>
          <tpl hier="29" item="1"/>
        </tpls>
      </n>
      <n v="6307.0420000000004" in="0">
        <tpls c="4">
          <tpl hier="8" item="0"/>
          <tpl fld="2" item="0"/>
          <tpl fld="0" item="12"/>
          <tpl hier="29" item="1"/>
        </tpls>
      </n>
      <n v="8321.48" in="0">
        <tpls c="4">
          <tpl hier="8" item="0"/>
          <tpl fld="2" item="0"/>
          <tpl fld="0" item="10"/>
          <tpl hier="29" item="1"/>
        </tpls>
      </n>
      <n v="4822.3500000000004" in="0">
        <tpls c="4">
          <tpl hier="8" item="0"/>
          <tpl fld="2" item="0"/>
          <tpl fld="0" item="47"/>
          <tpl hier="29" item="1"/>
        </tpls>
      </n>
      <n v="7611.35" in="0">
        <tpls c="4">
          <tpl hier="8" item="0"/>
          <tpl fld="2" item="0"/>
          <tpl fld="0" item="7"/>
          <tpl hier="29" item="1"/>
        </tpls>
      </n>
      <n v="91705.164000000004" in="0">
        <tpls c="3">
          <tpl hier="8" item="0"/>
          <tpl fld="2" item="0"/>
          <tpl fld="1" item="1"/>
        </tpls>
      </n>
      <n v="4759.3190000000004" in="0">
        <tpls c="4">
          <tpl hier="8" item="0"/>
          <tpl fld="2" item="0"/>
          <tpl fld="0" item="25"/>
          <tpl hier="29" item="1"/>
        </tpls>
      </n>
      <n v="15155.484" in="0">
        <tpls c="4">
          <tpl hier="8" item="0"/>
          <tpl fld="2" item="0"/>
          <tpl fld="0" item="46"/>
          <tpl hier="29" item="1"/>
        </tpls>
      </n>
      <n v="156064.60149999999" in="0">
        <tpls c="4">
          <tpl hier="8" item="0"/>
          <tpl fld="2" item="0"/>
          <tpl fld="0" item="0"/>
          <tpl hier="29" item="1"/>
        </tpls>
      </n>
      <n v="2595.482" in="0">
        <tpls c="4">
          <tpl hier="8" item="0"/>
          <tpl fld="2" item="0"/>
          <tpl fld="0" item="24"/>
          <tpl hier="29" item="1"/>
        </tpls>
      </n>
      <n v="25321.95" in="0">
        <tpls c="4">
          <tpl hier="8" item="0"/>
          <tpl fld="2" item="0"/>
          <tpl fld="0" item="41"/>
          <tpl hier="29" item="1"/>
        </tpls>
      </n>
      <n v="22321.1" in="0">
        <tpls c="4">
          <tpl hier="8" item="0"/>
          <tpl fld="2" item="0"/>
          <tpl fld="0" item="36"/>
          <tpl hier="29" item="1"/>
        </tpls>
      </n>
      <n v="328449.103" in="0">
        <tpls c="3">
          <tpl hier="8" item="0"/>
          <tpl fld="2" item="0"/>
          <tpl fld="1" item="3"/>
        </tpls>
      </n>
      <n v="10919.064" in="0">
        <tpls c="4">
          <tpl hier="8" item="0"/>
          <tpl fld="2" item="0"/>
          <tpl fld="0" item="14"/>
          <tpl hier="29" item="1"/>
        </tpls>
      </n>
      <n v="63.98" in="0">
        <tpls c="4">
          <tpl hier="8" item="0"/>
          <tpl fld="2" item="0"/>
          <tpl fld="0" item="34"/>
          <tpl hier="29" item="1"/>
        </tpls>
      </n>
      <n v="1701.412" in="0">
        <tpls c="4">
          <tpl hier="8" item="0"/>
          <tpl fld="2" item="0"/>
          <tpl fld="0" item="13"/>
          <tpl hier="29" item="1"/>
        </tpls>
      </n>
      <n v="13243.037" in="0">
        <tpls c="4">
          <tpl hier="8" item="0"/>
          <tpl fld="2" item="0"/>
          <tpl fld="0" item="32"/>
          <tpl hier="29" item="1"/>
        </tpls>
      </n>
      <n v="4635.1719999999996" in="0">
        <tpls c="4">
          <tpl hier="8" item="0"/>
          <tpl fld="2" item="0"/>
          <tpl fld="0" item="9"/>
          <tpl hier="29" item="1"/>
        </tpls>
      </n>
      <n v="8284.1" in="0">
        <tpls c="4">
          <tpl hier="8" item="0"/>
          <tpl fld="2" item="0"/>
          <tpl fld="0" item="15"/>
          <tpl hier="29" item="1"/>
        </tpls>
      </n>
      <n v="28274.522000000001" in="0">
        <tpls c="4">
          <tpl hier="8" item="0"/>
          <tpl fld="2" item="0"/>
          <tpl fld="0" item="29"/>
          <tpl hier="29" item="1"/>
        </tpls>
      </n>
      <n v="17256.61" in="0">
        <tpls c="4">
          <tpl hier="8" item="0"/>
          <tpl fld="2" item="0"/>
          <tpl fld="0" item="8"/>
          <tpl hier="29" item="1"/>
        </tpls>
      </n>
      <n v="1886.4739999999999" in="0">
        <tpls c="4">
          <tpl hier="8" item="0"/>
          <tpl fld="2" item="0"/>
          <tpl fld="0" item="28"/>
          <tpl hier="29" item="1"/>
        </tpls>
      </n>
      <n v="12126.84" in="0">
        <tpls c="4">
          <tpl hier="8" item="0"/>
          <tpl fld="2" item="0"/>
          <tpl fld="0" item="27"/>
          <tpl hier="29" item="1"/>
        </tpls>
      </n>
      <n v="6332.48" in="0">
        <tpls c="4">
          <tpl hier="8" item="0"/>
          <tpl fld="2" item="0"/>
          <tpl fld="0" item="2"/>
          <tpl hier="29" item="1"/>
        </tpls>
      </n>
      <n v="20036.677599999999" in="0">
        <tpls c="3">
          <tpl hier="8" item="2"/>
          <tpl fld="2" item="0"/>
          <tpl fld="1" item="0"/>
        </tpls>
      </n>
      <n v="5889.8339999999998" in="0">
        <tpls c="4">
          <tpl hier="8" item="2"/>
          <tpl fld="2" item="0"/>
          <tpl fld="0" item="45"/>
          <tpl hier="29" item="1"/>
        </tpls>
      </n>
      <n v="46088.3655" in="0">
        <tpls c="3">
          <tpl hier="8" item="2"/>
          <tpl fld="2" item="0"/>
          <tpl fld="1" item="2"/>
        </tpls>
      </n>
      <n v="40.56" in="0">
        <tpls c="4">
          <tpl hier="8" item="2"/>
          <tpl fld="2" item="0"/>
          <tpl fld="0" item="44"/>
          <tpl hier="29" item="1"/>
        </tpls>
      </n>
      <n v="3023.8159999999998" in="0">
        <tpls c="4">
          <tpl hier="8" item="2"/>
          <tpl fld="2" item="0"/>
          <tpl fld="0" item="23"/>
          <tpl hier="29" item="1"/>
        </tpls>
      </n>
      <m in="0">
        <tpls c="4">
          <tpl hier="8" item="2"/>
          <tpl fld="2" item="0"/>
          <tpl fld="0" item="21"/>
          <tpl hier="29" item="1"/>
        </tpls>
      </m>
      <n v="668.16" in="0">
        <tpls c="4">
          <tpl hier="8" item="2"/>
          <tpl fld="2" item="0"/>
          <tpl fld="0" item="5"/>
          <tpl hier="29" item="1"/>
        </tpls>
      </n>
      <n v="1184.72" in="0">
        <tpls c="4">
          <tpl hier="8" item="2"/>
          <tpl fld="2" item="0"/>
          <tpl fld="0" item="43"/>
          <tpl hier="29" item="1"/>
        </tpls>
      </n>
      <n v="7375.1319999999996" in="0">
        <tpls c="4">
          <tpl hier="8" item="2"/>
          <tpl fld="2" item="0"/>
          <tpl fld="0" item="33"/>
          <tpl hier="29" item="1"/>
        </tpls>
      </n>
      <n v="85.98" in="0">
        <tpls c="4">
          <tpl hier="8" item="2"/>
          <tpl fld="2" item="0"/>
          <tpl fld="0" item="20"/>
          <tpl hier="29" item="1"/>
        </tpls>
      </n>
      <n v="1567.47" in="0">
        <tpls c="4">
          <tpl hier="8" item="2"/>
          <tpl fld="2" item="0"/>
          <tpl fld="0" item="12"/>
          <tpl hier="29" item="1"/>
        </tpls>
      </n>
      <n v="235.99" in="0">
        <tpls c="4">
          <tpl hier="8" item="2"/>
          <tpl fld="2" item="0"/>
          <tpl fld="0" item="10"/>
          <tpl hier="29" item="1"/>
        </tpls>
      </n>
      <m in="0">
        <tpls c="4">
          <tpl hier="8" item="2"/>
          <tpl fld="2" item="0"/>
          <tpl fld="0" item="38"/>
          <tpl hier="29" item="1"/>
        </tpls>
      </m>
      <n v="10979.31" in="0">
        <tpls c="4">
          <tpl hier="8" item="2"/>
          <tpl fld="2" item="0"/>
          <tpl fld="0" item="22"/>
          <tpl hier="29" item="1"/>
        </tpls>
      </n>
      <n v="4040.0825" in="0">
        <tpls c="4">
          <tpl hier="8" item="2"/>
          <tpl fld="2" item="0"/>
          <tpl fld="0" item="1"/>
          <tpl hier="29" item="1"/>
        </tpls>
      </n>
      <m in="0">
        <tpls c="4">
          <tpl hier="8" item="2"/>
          <tpl fld="2" item="0"/>
          <tpl fld="0" item="19"/>
          <tpl hier="29" item="1"/>
        </tpls>
      </m>
      <n v="1231.3699999999999" in="0">
        <tpls c="4">
          <tpl hier="8" item="2"/>
          <tpl fld="2" item="0"/>
          <tpl fld="0" item="31"/>
          <tpl hier="29" item="1"/>
        </tpls>
      </n>
      <n v="827.72" in="0">
        <tpls c="4">
          <tpl hier="8" item="2"/>
          <tpl fld="2" item="0"/>
          <tpl fld="0" item="3"/>
          <tpl hier="29" item="1"/>
        </tpls>
      </n>
      <n v="16687.5046" in="0">
        <tpls c="4">
          <tpl hier="8" item="2"/>
          <tpl fld="2" item="0"/>
          <tpl fld="0" item="16"/>
          <tpl hier="29" item="1"/>
        </tpls>
      </n>
      <n v="181.88" in="0">
        <tpls c="4">
          <tpl hier="8" item="2"/>
          <tpl fld="2" item="0"/>
          <tpl fld="0" item="37"/>
          <tpl hier="29" item="1"/>
        </tpls>
      </n>
      <n v="2381.8200000000002" in="0">
        <tpls c="4">
          <tpl hier="8" item="2"/>
          <tpl fld="2" item="0"/>
          <tpl fld="0" item="6"/>
          <tpl hier="29" item="1"/>
        </tpls>
      </n>
      <m in="0">
        <tpls c="4">
          <tpl hier="8" item="2"/>
          <tpl fld="2" item="0"/>
          <tpl fld="0" item="11"/>
          <tpl hier="29" item="1"/>
        </tpls>
      </m>
      <m in="0">
        <tpls c="4">
          <tpl hier="8" item="2"/>
          <tpl fld="2" item="0"/>
          <tpl fld="0" item="35"/>
          <tpl hier="29" item="1"/>
        </tpls>
      </m>
      <n v="943.54" in="0">
        <tpls c="4">
          <tpl hier="8" item="2"/>
          <tpl fld="2" item="0"/>
          <tpl fld="0" item="42"/>
          <tpl hier="29" item="1"/>
        </tpls>
      </n>
      <n v="393.83" in="0">
        <tpls c="4">
          <tpl hier="8" item="2"/>
          <tpl fld="2" item="0"/>
          <tpl fld="0" item="18"/>
          <tpl hier="29" item="1"/>
        </tpls>
      </n>
      <n v="1762.53" in="0">
        <tpls c="4">
          <tpl hier="8" item="2"/>
          <tpl fld="2" item="0"/>
          <tpl fld="0" item="30"/>
          <tpl hier="29" item="1"/>
        </tpls>
      </n>
      <n v="1974.7339999999999" in="0">
        <tpls c="4">
          <tpl hier="8" item="2"/>
          <tpl fld="2" item="0"/>
          <tpl fld="0" item="4"/>
          <tpl hier="29" item="1"/>
        </tpls>
      </n>
      <m in="0">
        <tpls c="4">
          <tpl hier="8" item="2"/>
          <tpl fld="2" item="0"/>
          <tpl fld="0" item="39"/>
          <tpl hier="29" item="1"/>
        </tpls>
      </m>
      <n v="141.96" in="0">
        <tpls c="4">
          <tpl hier="8" item="2"/>
          <tpl fld="2" item="0"/>
          <tpl fld="0" item="40"/>
          <tpl hier="29" item="1"/>
        </tpls>
      </n>
      <n v="1383.673" in="0">
        <tpls c="4">
          <tpl hier="8" item="2"/>
          <tpl fld="2" item="0"/>
          <tpl fld="0" item="26"/>
          <tpl hier="29" item="1"/>
        </tpls>
      </n>
      <n v="21706.440999999999" in="0">
        <tpls c="4">
          <tpl hier="8" item="2"/>
          <tpl fld="2" item="0"/>
          <tpl fld="0" item="17"/>
          <tpl hier="29" item="1"/>
        </tpls>
      </n>
      <n v="1170.9100000000001" in="0">
        <tpls c="4">
          <tpl hier="8" item="2"/>
          <tpl fld="2" item="0"/>
          <tpl fld="0" item="25"/>
          <tpl hier="29" item="1"/>
        </tpls>
      </n>
      <m in="0">
        <tpls c="4">
          <tpl hier="8" item="2"/>
          <tpl fld="2" item="0"/>
          <tpl fld="0" item="34"/>
          <tpl hier="29" item="1"/>
        </tpls>
      </m>
      <n v="2573.8200000000002" in="0">
        <tpls c="4">
          <tpl hier="8" item="2"/>
          <tpl fld="2" item="0"/>
          <tpl fld="0" item="27"/>
          <tpl hier="29" item="1"/>
        </tpls>
      </n>
      <m in="0">
        <tpls c="4">
          <tpl hier="8" item="2"/>
          <tpl fld="2" item="0"/>
          <tpl fld="0" item="13"/>
          <tpl hier="29" item="1"/>
        </tpls>
      </m>
      <n v="3590.62" in="0">
        <tpls c="4">
          <tpl hier="8" item="2"/>
          <tpl fld="2" item="0"/>
          <tpl fld="0" item="2"/>
          <tpl hier="29" item="1"/>
        </tpls>
      </n>
      <n v="1721.9939999999999" in="0">
        <tpls c="4">
          <tpl hier="8" item="2"/>
          <tpl fld="2" item="0"/>
          <tpl fld="0" item="32"/>
          <tpl hier="29" item="1"/>
        </tpls>
      </n>
      <n v="860.322" in="0">
        <tpls c="4">
          <tpl hier="8" item="2"/>
          <tpl fld="2" item="0"/>
          <tpl fld="0" item="9"/>
          <tpl hier="29" item="1"/>
        </tpls>
      </n>
      <n v="2481.7600000000002" in="0">
        <tpls c="4">
          <tpl hier="8" item="2"/>
          <tpl fld="2" item="0"/>
          <tpl fld="0" item="7"/>
          <tpl hier="29" item="1"/>
        </tpls>
      </n>
      <n v="1399.5160000000001" in="0">
        <tpls c="4">
          <tpl hier="8" item="2"/>
          <tpl fld="2" item="0"/>
          <tpl fld="0" item="46"/>
          <tpl hier="29" item="1"/>
        </tpls>
      </n>
      <n v="338.35199999999998" in="0">
        <tpls c="4">
          <tpl hier="8" item="2"/>
          <tpl fld="2" item="0"/>
          <tpl fld="0" item="24"/>
          <tpl hier="29" item="1"/>
        </tpls>
      </n>
      <n v="77241.576000000001" in="0">
        <tpls c="3">
          <tpl hier="8" item="2"/>
          <tpl fld="2" item="0"/>
          <tpl fld="1" item="3"/>
        </tpls>
      </n>
      <n v="4300.1859999999997" in="0">
        <tpls c="4">
          <tpl hier="8" item="2"/>
          <tpl fld="2" item="0"/>
          <tpl fld="0" item="14"/>
          <tpl hier="29" item="1"/>
        </tpls>
      </n>
      <n v="32962.947" in="0">
        <tpls c="4">
          <tpl hier="8" item="2"/>
          <tpl fld="2" item="0"/>
          <tpl fld="0" item="0"/>
          <tpl hier="29" item="1"/>
        </tpls>
      </n>
      <n v="1123.9000000000001" in="0">
        <tpls c="4">
          <tpl hier="8" item="2"/>
          <tpl fld="2" item="0"/>
          <tpl fld="0" item="36"/>
          <tpl hier="29" item="1"/>
        </tpls>
      </n>
      <n v="139.86000000000001" in="0">
        <tpls c="4">
          <tpl hier="8" item="2"/>
          <tpl fld="2" item="0"/>
          <tpl fld="0" item="28"/>
          <tpl hier="29" item="1"/>
        </tpls>
      </n>
      <n v="9560.02" in="0">
        <tpls c="4">
          <tpl hier="8" item="2"/>
          <tpl fld="2" item="0"/>
          <tpl fld="0" item="41"/>
          <tpl hier="29" item="1"/>
        </tpls>
      </n>
      <n v="1471.43" in="0">
        <tpls c="4">
          <tpl hier="8" item="2"/>
          <tpl fld="2" item="0"/>
          <tpl fld="0" item="15"/>
          <tpl hier="29" item="1"/>
        </tpls>
      </n>
      <n v="5480.2690000000002" in="0">
        <tpls c="4">
          <tpl hier="8" item="2"/>
          <tpl fld="2" item="0"/>
          <tpl fld="0" item="29"/>
          <tpl hier="29" item="1"/>
        </tpls>
      </n>
      <n v="13826.234" in="0">
        <tpls c="3">
          <tpl hier="8" item="2"/>
          <tpl fld="2" item="0"/>
          <tpl fld="1" item="1"/>
        </tpls>
      </n>
      <n v="73.319999999999993" in="0">
        <tpls c="4">
          <tpl hier="8" item="2"/>
          <tpl fld="2" item="0"/>
          <tpl fld="0" item="47"/>
          <tpl hier="29" item="1"/>
        </tpls>
      </n>
      <n v="3235.57" in="0">
        <tpls c="4">
          <tpl hier="8" item="2"/>
          <tpl fld="2" item="0"/>
          <tpl fld="0" item="8"/>
          <tpl hier="29" item="1"/>
        </tpls>
      </n>
      <n v="5889.8339999999998" in="0">
        <tpls c="4">
          <tpl hier="8" item="2"/>
          <tpl fld="2" item="0"/>
          <tpl fld="0" item="45"/>
          <tpl hier="29" item="3"/>
        </tpls>
      </n>
      <m>
        <tpls c="4">
          <tpl hier="8" item="2"/>
          <tpl fld="2" item="0"/>
          <tpl fld="0" item="44"/>
          <tpl hier="29" item="3"/>
        </tpls>
      </m>
      <n v="3023.8159999999998" in="0">
        <tpls c="4">
          <tpl hier="8" item="2"/>
          <tpl fld="2" item="0"/>
          <tpl fld="0" item="23"/>
          <tpl hier="29" item="3"/>
        </tpls>
      </n>
      <m>
        <tpls c="4">
          <tpl hier="8" item="2"/>
          <tpl fld="2" item="0"/>
          <tpl fld="0" item="21"/>
          <tpl hier="29" item="3"/>
        </tpls>
      </m>
      <m>
        <tpls c="4">
          <tpl hier="8" item="2"/>
          <tpl fld="2" item="0"/>
          <tpl fld="0" item="5"/>
          <tpl hier="29" item="3"/>
        </tpls>
      </m>
      <m>
        <tpls c="4">
          <tpl hier="8" item="2"/>
          <tpl fld="2" item="0"/>
          <tpl fld="0" item="43"/>
          <tpl hier="29" item="3"/>
        </tpls>
      </m>
      <n v="7375.1319999999996" in="0">
        <tpls c="4">
          <tpl hier="8" item="2"/>
          <tpl fld="2" item="0"/>
          <tpl fld="0" item="33"/>
          <tpl hier="29" item="3"/>
        </tpls>
      </n>
      <m>
        <tpls c="4">
          <tpl hier="8" item="2"/>
          <tpl fld="2" item="0"/>
          <tpl fld="0" item="20"/>
          <tpl hier="29" item="3"/>
        </tpls>
      </m>
      <n v="1567.47" in="0">
        <tpls c="4">
          <tpl hier="8" item="2"/>
          <tpl fld="2" item="0"/>
          <tpl fld="0" item="12"/>
          <tpl hier="29" item="3"/>
        </tpls>
      </n>
      <m>
        <tpls c="4">
          <tpl hier="8" item="2"/>
          <tpl fld="2" item="0"/>
          <tpl fld="0" item="10"/>
          <tpl hier="29" item="3"/>
        </tpls>
      </m>
      <m in="0">
        <tpls c="4">
          <tpl hier="8" item="2"/>
          <tpl fld="2" item="0"/>
          <tpl fld="0" item="38"/>
          <tpl hier="29" item="3"/>
        </tpls>
      </m>
      <m>
        <tpls c="4">
          <tpl hier="8" item="2"/>
          <tpl fld="2" item="0"/>
          <tpl fld="0" item="22"/>
          <tpl hier="29" item="3"/>
        </tpls>
      </m>
      <m>
        <tpls c="4">
          <tpl hier="8" item="2"/>
          <tpl fld="2" item="0"/>
          <tpl fld="0" item="1"/>
          <tpl hier="29" item="3"/>
        </tpls>
      </m>
      <m in="0">
        <tpls c="4">
          <tpl hier="8" item="2"/>
          <tpl fld="2" item="0"/>
          <tpl fld="0" item="19"/>
          <tpl hier="29" item="3"/>
        </tpls>
      </m>
      <n v="1231.3699999999999" in="0">
        <tpls c="4">
          <tpl hier="8" item="2"/>
          <tpl fld="2" item="0"/>
          <tpl fld="0" item="31"/>
          <tpl hier="29" item="3"/>
        </tpls>
      </n>
      <n v="827.72" in="0">
        <tpls c="4">
          <tpl hier="8" item="2"/>
          <tpl fld="2" item="0"/>
          <tpl fld="0" item="3"/>
          <tpl hier="29" item="3"/>
        </tpls>
      </n>
      <m>
        <tpls c="4">
          <tpl hier="8" item="2"/>
          <tpl fld="2" item="0"/>
          <tpl fld="0" item="16"/>
          <tpl hier="29" item="3"/>
        </tpls>
      </m>
      <m>
        <tpls c="4">
          <tpl hier="8" item="2"/>
          <tpl fld="2" item="0"/>
          <tpl fld="0" item="37"/>
          <tpl hier="29" item="3"/>
        </tpls>
      </m>
      <m>
        <tpls c="4">
          <tpl hier="8" item="2"/>
          <tpl fld="2" item="0"/>
          <tpl fld="0" item="6"/>
          <tpl hier="29" item="3"/>
        </tpls>
      </m>
      <m>
        <tpls c="4">
          <tpl hier="8" item="2"/>
          <tpl fld="2" item="0"/>
          <tpl fld="0" item="11"/>
          <tpl hier="29" item="3"/>
        </tpls>
      </m>
      <m in="0">
        <tpls c="4">
          <tpl hier="8" item="2"/>
          <tpl fld="2" item="0"/>
          <tpl fld="0" item="35"/>
          <tpl hier="29" item="3"/>
        </tpls>
      </m>
      <m>
        <tpls c="4">
          <tpl hier="8" item="2"/>
          <tpl fld="2" item="0"/>
          <tpl fld="0" item="42"/>
          <tpl hier="29" item="3"/>
        </tpls>
      </m>
      <m>
        <tpls c="4">
          <tpl hier="8" item="2"/>
          <tpl fld="2" item="0"/>
          <tpl fld="0" item="18"/>
          <tpl hier="29" item="3"/>
        </tpls>
      </m>
      <m>
        <tpls c="4">
          <tpl hier="8" item="2"/>
          <tpl fld="2" item="0"/>
          <tpl fld="0" item="30"/>
          <tpl hier="29" item="3"/>
        </tpls>
      </m>
      <m>
        <tpls c="4">
          <tpl hier="8" item="2"/>
          <tpl fld="2" item="0"/>
          <tpl fld="0" item="4"/>
          <tpl hier="29" item="3"/>
        </tpls>
      </m>
      <m in="0">
        <tpls c="4">
          <tpl hier="8" item="2"/>
          <tpl fld="2" item="0"/>
          <tpl fld="0" item="39"/>
          <tpl hier="29" item="3"/>
        </tpls>
      </m>
      <m>
        <tpls c="4">
          <tpl hier="8" item="2"/>
          <tpl fld="2" item="0"/>
          <tpl fld="0" item="40"/>
          <tpl hier="29" item="3"/>
        </tpls>
      </m>
      <m>
        <tpls c="4">
          <tpl hier="8" item="2"/>
          <tpl fld="2" item="0"/>
          <tpl fld="0" item="26"/>
          <tpl hier="29" item="3"/>
        </tpls>
      </m>
      <n v="21706.440999999999" in="0">
        <tpls c="4">
          <tpl hier="8" item="2"/>
          <tpl fld="2" item="0"/>
          <tpl fld="0" item="17"/>
          <tpl hier="29" item="3"/>
        </tpls>
      </n>
      <n v="1170.9100000000001" in="0">
        <tpls c="4">
          <tpl hier="8" item="2"/>
          <tpl fld="2" item="0"/>
          <tpl fld="0" item="25"/>
          <tpl hier="29" item="3"/>
        </tpls>
      </n>
      <m>
        <tpls c="4">
          <tpl hier="8" item="2"/>
          <tpl fld="2" item="0"/>
          <tpl fld="0" item="34"/>
          <tpl hier="29" item="3"/>
        </tpls>
      </m>
      <m>
        <tpls c="4">
          <tpl hier="8" item="2"/>
          <tpl fld="2" item="0"/>
          <tpl fld="0" item="27"/>
          <tpl hier="29" item="3"/>
        </tpls>
      </m>
      <m>
        <tpls c="4">
          <tpl hier="8" item="2"/>
          <tpl fld="2" item="0"/>
          <tpl fld="0" item="13"/>
          <tpl hier="29" item="3"/>
        </tpls>
      </m>
      <m>
        <tpls c="4">
          <tpl hier="8" item="2"/>
          <tpl fld="2" item="0"/>
          <tpl fld="0" item="2"/>
          <tpl hier="29" item="3"/>
        </tpls>
      </m>
      <m>
        <tpls c="4">
          <tpl hier="8" item="2"/>
          <tpl fld="2" item="0"/>
          <tpl fld="0" item="32"/>
          <tpl hier="29" item="3"/>
        </tpls>
      </m>
      <m>
        <tpls c="4">
          <tpl hier="8" item="2"/>
          <tpl fld="2" item="0"/>
          <tpl fld="0" item="9"/>
          <tpl hier="29" item="3"/>
        </tpls>
      </m>
      <m>
        <tpls c="4">
          <tpl hier="8" item="2"/>
          <tpl fld="2" item="0"/>
          <tpl fld="0" item="7"/>
          <tpl hier="29" item="3"/>
        </tpls>
      </m>
      <m>
        <tpls c="4">
          <tpl hier="8" item="2"/>
          <tpl fld="2" item="0"/>
          <tpl fld="0" item="46"/>
          <tpl hier="29" item="3"/>
        </tpls>
      </m>
      <m>
        <tpls c="4">
          <tpl hier="8" item="2"/>
          <tpl fld="2" item="0"/>
          <tpl fld="0" item="24"/>
          <tpl hier="29" item="3"/>
        </tpls>
      </m>
      <n v="4300.1859999999997" in="0">
        <tpls c="4">
          <tpl hier="8" item="2"/>
          <tpl fld="2" item="0"/>
          <tpl fld="0" item="14"/>
          <tpl hier="29" item="3"/>
        </tpls>
      </n>
      <m>
        <tpls c="4">
          <tpl hier="8" item="2"/>
          <tpl fld="2" item="0"/>
          <tpl fld="0" item="0"/>
          <tpl hier="29" item="3"/>
        </tpls>
      </m>
      <m>
        <tpls c="4">
          <tpl hier="8" item="2"/>
          <tpl fld="2" item="0"/>
          <tpl fld="0" item="36"/>
          <tpl hier="29" item="3"/>
        </tpls>
      </m>
      <n v="139.86000000000001" in="0">
        <tpls c="4">
          <tpl hier="8" item="2"/>
          <tpl fld="2" item="0"/>
          <tpl fld="0" item="28"/>
          <tpl hier="29" item="3"/>
        </tpls>
      </n>
      <m>
        <tpls c="4">
          <tpl hier="8" item="2"/>
          <tpl fld="2" item="0"/>
          <tpl fld="0" item="41"/>
          <tpl hier="29" item="3"/>
        </tpls>
      </m>
      <m>
        <tpls c="4">
          <tpl hier="8" item="2"/>
          <tpl fld="2" item="0"/>
          <tpl fld="0" item="15"/>
          <tpl hier="29" item="3"/>
        </tpls>
      </m>
      <m>
        <tpls c="4">
          <tpl hier="8" item="2"/>
          <tpl fld="2" item="0"/>
          <tpl fld="0" item="29"/>
          <tpl hier="29" item="3"/>
        </tpls>
      </m>
      <m>
        <tpls c="4">
          <tpl hier="8" item="2"/>
          <tpl fld="2" item="0"/>
          <tpl fld="0" item="47"/>
          <tpl hier="29" item="3"/>
        </tpls>
      </m>
      <m>
        <tpls c="4">
          <tpl hier="8" item="2"/>
          <tpl fld="2" item="0"/>
          <tpl fld="0" item="8"/>
          <tpl hier="29" item="3"/>
        </tpls>
      </m>
      <m>
        <tpls c="4">
          <tpl hier="8" item="2"/>
          <tpl fld="2" item="0"/>
          <tpl fld="0" item="45"/>
          <tpl hier="29" item="4"/>
        </tpls>
      </m>
      <m>
        <tpls c="4">
          <tpl hier="8" item="2"/>
          <tpl fld="2" item="0"/>
          <tpl fld="0" item="44"/>
          <tpl hier="29" item="4"/>
        </tpls>
      </m>
      <m>
        <tpls c="4">
          <tpl hier="8" item="2"/>
          <tpl fld="2" item="0"/>
          <tpl fld="0" item="23"/>
          <tpl hier="29" item="4"/>
        </tpls>
      </m>
      <m>
        <tpls c="4">
          <tpl hier="8" item="2"/>
          <tpl fld="2" item="0"/>
          <tpl fld="0" item="21"/>
          <tpl hier="29" item="4"/>
        </tpls>
      </m>
      <m>
        <tpls c="4">
          <tpl hier="8" item="2"/>
          <tpl fld="2" item="0"/>
          <tpl fld="0" item="5"/>
          <tpl hier="29" item="4"/>
        </tpls>
      </m>
      <m>
        <tpls c="4">
          <tpl hier="8" item="2"/>
          <tpl fld="2" item="0"/>
          <tpl fld="0" item="43"/>
          <tpl hier="29" item="4"/>
        </tpls>
      </m>
      <m>
        <tpls c="4">
          <tpl hier="8" item="2"/>
          <tpl fld="2" item="0"/>
          <tpl fld="0" item="33"/>
          <tpl hier="29" item="4"/>
        </tpls>
      </m>
      <n v="85.98" in="0">
        <tpls c="4">
          <tpl hier="8" item="2"/>
          <tpl fld="2" item="0"/>
          <tpl fld="0" item="20"/>
          <tpl hier="29" item="4"/>
        </tpls>
      </n>
      <m>
        <tpls c="4">
          <tpl hier="8" item="2"/>
          <tpl fld="2" item="0"/>
          <tpl fld="0" item="12"/>
          <tpl hier="29" item="4"/>
        </tpls>
      </m>
      <n v="235.99" in="0">
        <tpls c="4">
          <tpl hier="8" item="2"/>
          <tpl fld="2" item="0"/>
          <tpl fld="0" item="10"/>
          <tpl hier="29" item="4"/>
        </tpls>
      </n>
      <m>
        <tpls c="4">
          <tpl hier="8" item="2"/>
          <tpl fld="2" item="0"/>
          <tpl fld="0" item="38"/>
          <tpl hier="29" item="4"/>
        </tpls>
      </m>
      <m>
        <tpls c="4">
          <tpl hier="8" item="2"/>
          <tpl fld="2" item="0"/>
          <tpl fld="0" item="22"/>
          <tpl hier="29" item="4"/>
        </tpls>
      </m>
      <n v="4040.0825" in="0">
        <tpls c="4">
          <tpl hier="8" item="2"/>
          <tpl fld="2" item="0"/>
          <tpl fld="0" item="1"/>
          <tpl hier="29" item="4"/>
        </tpls>
      </n>
      <m>
        <tpls c="4">
          <tpl hier="8" item="2"/>
          <tpl fld="2" item="0"/>
          <tpl fld="0" item="19"/>
          <tpl hier="29" item="4"/>
        </tpls>
      </m>
      <m>
        <tpls c="4">
          <tpl hier="8" item="2"/>
          <tpl fld="2" item="0"/>
          <tpl fld="0" item="31"/>
          <tpl hier="29" item="4"/>
        </tpls>
      </m>
      <m>
        <tpls c="4">
          <tpl hier="8" item="2"/>
          <tpl fld="2" item="0"/>
          <tpl fld="0" item="3"/>
          <tpl hier="29" item="4"/>
        </tpls>
      </m>
      <m>
        <tpls c="4">
          <tpl hier="8" item="2"/>
          <tpl fld="2" item="0"/>
          <tpl fld="0" item="16"/>
          <tpl hier="29" item="4"/>
        </tpls>
      </m>
      <n v="181.88" in="0">
        <tpls c="4">
          <tpl hier="8" item="2"/>
          <tpl fld="2" item="0"/>
          <tpl fld="0" item="37"/>
          <tpl hier="29" item="4"/>
        </tpls>
      </n>
      <n v="2381.8200000000002" in="0">
        <tpls c="4">
          <tpl hier="8" item="2"/>
          <tpl fld="2" item="0"/>
          <tpl fld="0" item="6"/>
          <tpl hier="29" item="4"/>
        </tpls>
      </n>
      <m>
        <tpls c="4">
          <tpl hier="8" item="2"/>
          <tpl fld="2" item="0"/>
          <tpl fld="0" item="11"/>
          <tpl hier="29" item="4"/>
        </tpls>
      </m>
      <m>
        <tpls c="4">
          <tpl hier="8" item="2"/>
          <tpl fld="2" item="0"/>
          <tpl fld="0" item="35"/>
          <tpl hier="29" item="4"/>
        </tpls>
      </m>
      <n v="943.54" in="0">
        <tpls c="4">
          <tpl hier="8" item="2"/>
          <tpl fld="2" item="0"/>
          <tpl fld="0" item="42"/>
          <tpl hier="29" item="4"/>
        </tpls>
      </n>
      <m>
        <tpls c="4">
          <tpl hier="8" item="2"/>
          <tpl fld="2" item="0"/>
          <tpl fld="0" item="18"/>
          <tpl hier="29" item="4"/>
        </tpls>
      </m>
      <m>
        <tpls c="4">
          <tpl hier="8" item="2"/>
          <tpl fld="2" item="0"/>
          <tpl fld="0" item="30"/>
          <tpl hier="29" item="4"/>
        </tpls>
      </m>
      <n v="1974.7339999999999" in="0">
        <tpls c="4">
          <tpl hier="8" item="2"/>
          <tpl fld="2" item="0"/>
          <tpl fld="0" item="4"/>
          <tpl hier="29" item="4"/>
        </tpls>
      </n>
      <m>
        <tpls c="4">
          <tpl hier="8" item="2"/>
          <tpl fld="2" item="0"/>
          <tpl fld="0" item="39"/>
          <tpl hier="29" item="4"/>
        </tpls>
      </m>
      <m>
        <tpls c="4">
          <tpl hier="8" item="2"/>
          <tpl fld="2" item="0"/>
          <tpl fld="0" item="40"/>
          <tpl hier="29" item="4"/>
        </tpls>
      </m>
      <m>
        <tpls c="4">
          <tpl hier="8" item="2"/>
          <tpl fld="2" item="0"/>
          <tpl fld="0" item="26"/>
          <tpl hier="29" item="4"/>
        </tpls>
      </m>
      <m>
        <tpls c="4">
          <tpl hier="8" item="2"/>
          <tpl fld="2" item="0"/>
          <tpl fld="0" item="17"/>
          <tpl hier="29" item="4"/>
        </tpls>
      </m>
      <m>
        <tpls c="4">
          <tpl hier="8" item="2"/>
          <tpl fld="2" item="0"/>
          <tpl fld="0" item="25"/>
          <tpl hier="29" item="4"/>
        </tpls>
      </m>
      <m>
        <tpls c="4">
          <tpl hier="8" item="2"/>
          <tpl fld="2" item="0"/>
          <tpl fld="0" item="34"/>
          <tpl hier="29" item="4"/>
        </tpls>
      </m>
      <n v="2573.8200000000002" in="0">
        <tpls c="4">
          <tpl hier="8" item="2"/>
          <tpl fld="2" item="0"/>
          <tpl fld="0" item="27"/>
          <tpl hier="29" item="4"/>
        </tpls>
      </n>
      <m>
        <tpls c="4">
          <tpl hier="8" item="2"/>
          <tpl fld="2" item="0"/>
          <tpl fld="0" item="13"/>
          <tpl hier="29" item="4"/>
        </tpls>
      </m>
      <n v="3590.62" in="0">
        <tpls c="4">
          <tpl hier="8" item="2"/>
          <tpl fld="2" item="0"/>
          <tpl fld="0" item="2"/>
          <tpl hier="29" item="4"/>
        </tpls>
      </n>
      <m>
        <tpls c="4">
          <tpl hier="8" item="2"/>
          <tpl fld="2" item="0"/>
          <tpl fld="0" item="32"/>
          <tpl hier="29" item="4"/>
        </tpls>
      </m>
      <m>
        <tpls c="4">
          <tpl hier="8" item="2"/>
          <tpl fld="2" item="0"/>
          <tpl fld="0" item="9"/>
          <tpl hier="29" item="4"/>
        </tpls>
      </m>
      <m>
        <tpls c="4">
          <tpl hier="8" item="2"/>
          <tpl fld="2" item="0"/>
          <tpl fld="0" item="7"/>
          <tpl hier="29" item="4"/>
        </tpls>
      </m>
      <n v="1399.5160000000001" in="0">
        <tpls c="4">
          <tpl hier="8" item="2"/>
          <tpl fld="2" item="0"/>
          <tpl fld="0" item="46"/>
          <tpl hier="29" item="4"/>
        </tpls>
      </n>
      <m>
        <tpls c="4">
          <tpl hier="8" item="2"/>
          <tpl fld="2" item="0"/>
          <tpl fld="0" item="24"/>
          <tpl hier="29" item="4"/>
        </tpls>
      </m>
      <m>
        <tpls c="4">
          <tpl hier="8" item="2"/>
          <tpl fld="2" item="0"/>
          <tpl fld="0" item="14"/>
          <tpl hier="29" item="4"/>
        </tpls>
      </m>
      <m>
        <tpls c="4">
          <tpl hier="8" item="2"/>
          <tpl fld="2" item="0"/>
          <tpl fld="0" item="0"/>
          <tpl hier="29" item="4"/>
        </tpls>
      </m>
      <m>
        <tpls c="4">
          <tpl hier="8" item="2"/>
          <tpl fld="2" item="0"/>
          <tpl fld="0" item="36"/>
          <tpl hier="29" item="4"/>
        </tpls>
      </m>
      <m>
        <tpls c="4">
          <tpl hier="8" item="2"/>
          <tpl fld="2" item="0"/>
          <tpl fld="0" item="28"/>
          <tpl hier="29" item="4"/>
        </tpls>
      </m>
      <n v="9560.02" in="0">
        <tpls c="4">
          <tpl hier="8" item="2"/>
          <tpl fld="2" item="0"/>
          <tpl fld="0" item="41"/>
          <tpl hier="29" item="4"/>
        </tpls>
      </n>
      <m>
        <tpls c="4">
          <tpl hier="8" item="2"/>
          <tpl fld="2" item="0"/>
          <tpl fld="0" item="15"/>
          <tpl hier="29" item="4"/>
        </tpls>
      </m>
      <m>
        <tpls c="4">
          <tpl hier="8" item="2"/>
          <tpl fld="2" item="0"/>
          <tpl fld="0" item="29"/>
          <tpl hier="29" item="4"/>
        </tpls>
      </m>
      <m>
        <tpls c="4">
          <tpl hier="8" item="2"/>
          <tpl fld="2" item="0"/>
          <tpl fld="0" item="47"/>
          <tpl hier="29" item="4"/>
        </tpls>
      </m>
      <m>
        <tpls c="4">
          <tpl hier="8" item="2"/>
          <tpl fld="2" item="0"/>
          <tpl fld="0" item="8"/>
          <tpl hier="29" item="4"/>
        </tpls>
      </m>
      <n v="26275.466499999999" in="0">
        <tpls c="3">
          <tpl hier="8" item="5"/>
          <tpl fld="2" item="0"/>
          <tpl fld="1" item="0"/>
        </tpls>
      </n>
      <n v="7889.9390000000003" in="0">
        <tpls c="4">
          <tpl hier="8" item="5"/>
          <tpl fld="2" item="0"/>
          <tpl fld="0" item="45"/>
          <tpl hier="29" item="1"/>
        </tpls>
      </n>
      <n v="60833.200499999999" in="0">
        <tpls c="3">
          <tpl hier="8" item="5"/>
          <tpl fld="2" item="0"/>
          <tpl fld="1" item="2"/>
        </tpls>
      </n>
      <n v="70.56" in="0">
        <tpls c="4">
          <tpl hier="8" item="5"/>
          <tpl fld="2" item="0"/>
          <tpl fld="0" item="44"/>
          <tpl hier="29" item="1"/>
        </tpls>
      </n>
      <n v="944.74" in="0">
        <tpls c="4">
          <tpl hier="8" item="5"/>
          <tpl fld="2" item="0"/>
          <tpl fld="0" item="23"/>
          <tpl hier="29" item="1"/>
        </tpls>
      </n>
      <n v="1900.38" in="0">
        <tpls c="4">
          <tpl hier="8" item="5"/>
          <tpl fld="2" item="0"/>
          <tpl fld="0" item="21"/>
          <tpl hier="29" item="1"/>
        </tpls>
      </n>
      <n v="4974.01" in="0">
        <tpls c="4">
          <tpl hier="8" item="5"/>
          <tpl fld="2" item="0"/>
          <tpl fld="0" item="5"/>
          <tpl hier="29" item="1"/>
        </tpls>
      </n>
      <m in="0">
        <tpls c="4">
          <tpl hier="8" item="5"/>
          <tpl fld="2" item="0"/>
          <tpl fld="0" item="43"/>
          <tpl hier="29" item="1"/>
        </tpls>
      </m>
      <n v="7149.473" in="0">
        <tpls c="4">
          <tpl hier="8" item="5"/>
          <tpl fld="2" item="0"/>
          <tpl fld="0" item="33"/>
          <tpl hier="29" item="1"/>
        </tpls>
      </n>
      <n v="3359.31" in="0">
        <tpls c="4">
          <tpl hier="8" item="5"/>
          <tpl fld="2" item="0"/>
          <tpl fld="0" item="20"/>
          <tpl hier="29" item="1"/>
        </tpls>
      </n>
      <n v="1221.252" in="0">
        <tpls c="4">
          <tpl hier="8" item="5"/>
          <tpl fld="2" item="0"/>
          <tpl fld="0" item="12"/>
          <tpl hier="29" item="1"/>
        </tpls>
      </n>
      <n v="2961.37" in="0">
        <tpls c="4">
          <tpl hier="8" item="5"/>
          <tpl fld="2" item="0"/>
          <tpl fld="0" item="10"/>
          <tpl hier="29" item="1"/>
        </tpls>
      </n>
      <m in="0">
        <tpls c="4">
          <tpl hier="8" item="5"/>
          <tpl fld="2" item="0"/>
          <tpl fld="0" item="38"/>
          <tpl hier="29" item="1"/>
        </tpls>
      </m>
      <n v="6405.3220000000001" in="0">
        <tpls c="4">
          <tpl hier="8" item="5"/>
          <tpl fld="2" item="0"/>
          <tpl fld="0" item="22"/>
          <tpl hier="29" item="1"/>
        </tpls>
      </n>
      <n v="3057.2175000000002" in="0">
        <tpls c="4">
          <tpl hier="8" item="5"/>
          <tpl fld="2" item="0"/>
          <tpl fld="0" item="1"/>
          <tpl hier="29" item="1"/>
        </tpls>
      </n>
      <n v="109.48" in="0">
        <tpls c="4">
          <tpl hier="8" item="5"/>
          <tpl fld="2" item="0"/>
          <tpl fld="0" item="19"/>
          <tpl hier="29" item="1"/>
        </tpls>
      </n>
      <n v="2150.877" in="0">
        <tpls c="4">
          <tpl hier="8" item="5"/>
          <tpl fld="2" item="0"/>
          <tpl fld="0" item="31"/>
          <tpl hier="29" item="1"/>
        </tpls>
      </n>
      <n v="2713.183" in="0">
        <tpls c="4">
          <tpl hier="8" item="5"/>
          <tpl fld="2" item="0"/>
          <tpl fld="0" item="3"/>
          <tpl hier="29" item="1"/>
        </tpls>
      </n>
      <n v="15556.168" in="0">
        <tpls c="4">
          <tpl hier="8" item="5"/>
          <tpl fld="2" item="0"/>
          <tpl fld="0" item="16"/>
          <tpl hier="29" item="1"/>
        </tpls>
      </n>
      <m in="0">
        <tpls c="4">
          <tpl hier="8" item="5"/>
          <tpl fld="2" item="0"/>
          <tpl fld="0" item="37"/>
          <tpl hier="29" item="1"/>
        </tpls>
      </m>
      <n v="503.77" in="0">
        <tpls c="4">
          <tpl hier="8" item="5"/>
          <tpl fld="2" item="0"/>
          <tpl fld="0" item="6"/>
          <tpl hier="29" item="1"/>
        </tpls>
      </n>
      <n v="1603.136" in="0">
        <tpls c="4">
          <tpl hier="8" item="5"/>
          <tpl fld="2" item="0"/>
          <tpl fld="0" item="11"/>
          <tpl hier="29" item="1"/>
        </tpls>
      </n>
      <m in="0">
        <tpls c="4">
          <tpl hier="8" item="5"/>
          <tpl fld="2" item="0"/>
          <tpl fld="0" item="35"/>
          <tpl hier="29" item="1"/>
        </tpls>
      </m>
      <m in="0">
        <tpls c="4">
          <tpl hier="8" item="5"/>
          <tpl fld="2" item="0"/>
          <tpl fld="0" item="42"/>
          <tpl hier="29" item="1"/>
        </tpls>
      </m>
      <n v="821.08" in="0">
        <tpls c="4">
          <tpl hier="8" item="5"/>
          <tpl fld="2" item="0"/>
          <tpl fld="0" item="18"/>
          <tpl hier="29" item="1"/>
        </tpls>
      </n>
      <n v="2560.741" in="0">
        <tpls c="4">
          <tpl hier="8" item="5"/>
          <tpl fld="2" item="0"/>
          <tpl fld="0" item="30"/>
          <tpl hier="29" item="1"/>
        </tpls>
      </n>
      <n v="913.3" in="0">
        <tpls c="4">
          <tpl hier="8" item="5"/>
          <tpl fld="2" item="0"/>
          <tpl fld="0" item="4"/>
          <tpl hier="29" item="1"/>
        </tpls>
      </n>
      <n v="41.37" in="0">
        <tpls c="4">
          <tpl hier="8" item="5"/>
          <tpl fld="2" item="0"/>
          <tpl fld="0" item="39"/>
          <tpl hier="29" item="1"/>
        </tpls>
      </n>
      <m in="0">
        <tpls c="4">
          <tpl hier="8" item="5"/>
          <tpl fld="2" item="0"/>
          <tpl fld="0" item="40"/>
          <tpl hier="29" item="1"/>
        </tpls>
      </m>
      <n v="3766.018" in="0">
        <tpls c="4">
          <tpl hier="8" item="5"/>
          <tpl fld="2" item="0"/>
          <tpl fld="0" item="26"/>
          <tpl hier="29" item="1"/>
        </tpls>
      </n>
      <n v="21991.633999999998" in="0">
        <tpls c="4">
          <tpl hier="8" item="5"/>
          <tpl fld="2" item="0"/>
          <tpl fld="0" item="17"/>
          <tpl hier="29" item="1"/>
        </tpls>
      </n>
      <n v="292.32" in="0">
        <tpls c="4">
          <tpl hier="8" item="5"/>
          <tpl fld="2" item="0"/>
          <tpl fld="0" item="25"/>
          <tpl hier="29" item="1"/>
        </tpls>
      </n>
      <m in="0">
        <tpls c="4">
          <tpl hier="8" item="5"/>
          <tpl fld="2" item="0"/>
          <tpl fld="0" item="34"/>
          <tpl hier="29" item="1"/>
        </tpls>
      </m>
      <n v="3433.93" in="0">
        <tpls c="4">
          <tpl hier="8" item="5"/>
          <tpl fld="2" item="0"/>
          <tpl fld="0" item="27"/>
          <tpl hier="29" item="1"/>
        </tpls>
      </n>
      <m in="0">
        <tpls c="4">
          <tpl hier="8" item="5"/>
          <tpl fld="2" item="0"/>
          <tpl fld="0" item="13"/>
          <tpl hier="29" item="1"/>
        </tpls>
      </m>
      <n v="350.98" in="0">
        <tpls c="4">
          <tpl hier="8" item="5"/>
          <tpl fld="2" item="0"/>
          <tpl fld="0" item="2"/>
          <tpl hier="29" item="1"/>
        </tpls>
      </n>
      <n v="6742.8980000000001" in="0">
        <tpls c="4">
          <tpl hier="8" item="5"/>
          <tpl fld="2" item="0"/>
          <tpl fld="0" item="32"/>
          <tpl hier="29" item="1"/>
        </tpls>
      </n>
      <n v="1685.88" in="0">
        <tpls c="4">
          <tpl hier="8" item="5"/>
          <tpl fld="2" item="0"/>
          <tpl fld="0" item="9"/>
          <tpl hier="29" item="1"/>
        </tpls>
      </n>
      <n v="711.78" in="0">
        <tpls c="4">
          <tpl hier="8" item="5"/>
          <tpl fld="2" item="0"/>
          <tpl fld="0" item="7"/>
          <tpl hier="29" item="1"/>
        </tpls>
      </n>
      <n v="3772.9940000000001" in="0">
        <tpls c="4">
          <tpl hier="8" item="5"/>
          <tpl fld="2" item="0"/>
          <tpl fld="0" item="46"/>
          <tpl hier="29" item="1"/>
        </tpls>
      </n>
      <n v="1128.3900000000001" in="0">
        <tpls c="4">
          <tpl hier="8" item="5"/>
          <tpl fld="2" item="0"/>
          <tpl fld="0" item="24"/>
          <tpl hier="29" item="1"/>
        </tpls>
      </n>
      <n v="83918.645000000004" in="0">
        <tpls c="3">
          <tpl hier="8" item="5"/>
          <tpl fld="2" item="0"/>
          <tpl fld="1" item="3"/>
        </tpls>
      </n>
      <n v="1539.194" in="0">
        <tpls c="4">
          <tpl hier="8" item="5"/>
          <tpl fld="2" item="0"/>
          <tpl fld="0" item="14"/>
          <tpl hier="29" item="1"/>
        </tpls>
      </n>
      <n v="49927.255499999999" in="0">
        <tpls c="4">
          <tpl hier="8" item="5"/>
          <tpl fld="2" item="0"/>
          <tpl fld="0" item="0"/>
          <tpl hier="29" item="1"/>
        </tpls>
      </n>
      <n v="8526.2000000000007" in="0">
        <tpls c="4">
          <tpl hier="8" item="5"/>
          <tpl fld="2" item="0"/>
          <tpl fld="0" item="36"/>
          <tpl hier="29" item="1"/>
        </tpls>
      </n>
      <n v="343.71" in="0">
        <tpls c="4">
          <tpl hier="8" item="5"/>
          <tpl fld="2" item="0"/>
          <tpl fld="0" item="28"/>
          <tpl hier="29" item="1"/>
        </tpls>
      </n>
      <n v="9568.57" in="0">
        <tpls c="4">
          <tpl hier="8" item="5"/>
          <tpl fld="2" item="0"/>
          <tpl fld="0" item="41"/>
          <tpl hier="29" item="1"/>
        </tpls>
      </n>
      <n v="2391.83" in="0">
        <tpls c="4">
          <tpl hier="8" item="5"/>
          <tpl fld="2" item="0"/>
          <tpl fld="0" item="15"/>
          <tpl hier="29" item="1"/>
        </tpls>
      </n>
      <n v="7886.8739999999998" in="0">
        <tpls c="4">
          <tpl hier="8" item="5"/>
          <tpl fld="2" item="0"/>
          <tpl fld="0" item="29"/>
          <tpl hier="29" item="1"/>
        </tpls>
      </n>
      <n v="27874.124" in="0">
        <tpls c="3">
          <tpl hier="8" item="5"/>
          <tpl fld="2" item="0"/>
          <tpl fld="1" item="1"/>
        </tpls>
      </n>
      <m in="0">
        <tpls c="4">
          <tpl hier="8" item="5"/>
          <tpl fld="2" item="0"/>
          <tpl fld="0" item="47"/>
          <tpl hier="29" item="1"/>
        </tpls>
      </m>
      <n v="7934.3" in="0">
        <tpls c="4">
          <tpl hier="8" item="5"/>
          <tpl fld="2" item="0"/>
          <tpl fld="0" item="8"/>
          <tpl hier="29" item="1"/>
        </tpls>
      </n>
      <n v="24199.145" in="0">
        <tpls c="4">
          <tpl hier="8" item="0"/>
          <tpl fld="2" item="0"/>
          <tpl fld="0" item="45"/>
          <tpl hier="29" item="3"/>
        </tpls>
      </n>
      <m>
        <tpls c="4">
          <tpl hier="8" item="0"/>
          <tpl fld="2" item="0"/>
          <tpl fld="0" item="44"/>
          <tpl hier="29" item="3"/>
        </tpls>
      </m>
      <n v="5918.7560000000003" in="0">
        <tpls c="4">
          <tpl hier="8" item="0"/>
          <tpl fld="2" item="0"/>
          <tpl fld="0" item="23"/>
          <tpl hier="29" item="3"/>
        </tpls>
      </n>
      <m>
        <tpls c="4">
          <tpl hier="8" item="0"/>
          <tpl fld="2" item="0"/>
          <tpl fld="0" item="21"/>
          <tpl hier="29" item="3"/>
        </tpls>
      </m>
      <m>
        <tpls c="4">
          <tpl hier="8" item="0"/>
          <tpl fld="2" item="0"/>
          <tpl fld="0" item="5"/>
          <tpl hier="29" item="3"/>
        </tpls>
      </m>
      <m>
        <tpls c="4">
          <tpl hier="8" item="0"/>
          <tpl fld="2" item="0"/>
          <tpl fld="0" item="43"/>
          <tpl hier="29" item="3"/>
        </tpls>
      </m>
      <n v="39354.930999999997" in="0">
        <tpls c="4">
          <tpl hier="8" item="0"/>
          <tpl fld="2" item="0"/>
          <tpl fld="0" item="33"/>
          <tpl hier="29" item="3"/>
        </tpls>
      </n>
      <m>
        <tpls c="4">
          <tpl hier="8" item="0"/>
          <tpl fld="2" item="0"/>
          <tpl fld="0" item="20"/>
          <tpl hier="29" item="3"/>
        </tpls>
      </m>
      <n v="6307.0420000000004" in="0">
        <tpls c="4">
          <tpl hier="8" item="0"/>
          <tpl fld="2" item="0"/>
          <tpl fld="0" item="12"/>
          <tpl hier="29" item="3"/>
        </tpls>
      </n>
      <m>
        <tpls c="4">
          <tpl hier="8" item="0"/>
          <tpl fld="2" item="0"/>
          <tpl fld="0" item="10"/>
          <tpl hier="29" item="3"/>
        </tpls>
      </m>
      <n v="5120.1000000000004" in="0">
        <tpls c="4">
          <tpl hier="8" item="0"/>
          <tpl fld="2" item="0"/>
          <tpl fld="0" item="38"/>
          <tpl hier="29" item="3"/>
        </tpls>
      </n>
      <m>
        <tpls c="4">
          <tpl hier="8" item="0"/>
          <tpl fld="2" item="0"/>
          <tpl fld="0" item="22"/>
          <tpl hier="29" item="3"/>
        </tpls>
      </m>
      <m>
        <tpls c="4">
          <tpl hier="8" item="0"/>
          <tpl fld="2" item="0"/>
          <tpl fld="0" item="1"/>
          <tpl hier="29" item="3"/>
        </tpls>
      </m>
      <n v="109.48" in="0">
        <tpls c="4">
          <tpl hier="8" item="0"/>
          <tpl fld="2" item="0"/>
          <tpl fld="0" item="19"/>
          <tpl hier="29" item="3"/>
        </tpls>
      </n>
      <n v="5174.9870000000001" in="0">
        <tpls c="4">
          <tpl hier="8" item="0"/>
          <tpl fld="2" item="0"/>
          <tpl fld="0" item="31"/>
          <tpl hier="29" item="3"/>
        </tpls>
      </n>
      <n v="9149.2530000000006" in="0">
        <tpls c="4">
          <tpl hier="8" item="0"/>
          <tpl fld="2" item="0"/>
          <tpl fld="0" item="3"/>
          <tpl hier="29" item="3"/>
        </tpls>
      </n>
      <m>
        <tpls c="4">
          <tpl hier="8" item="0"/>
          <tpl fld="2" item="0"/>
          <tpl fld="0" item="16"/>
          <tpl hier="29" item="3"/>
        </tpls>
      </m>
      <m>
        <tpls c="4">
          <tpl hier="8" item="0"/>
          <tpl fld="2" item="0"/>
          <tpl fld="0" item="37"/>
          <tpl hier="29" item="3"/>
        </tpls>
      </m>
      <m>
        <tpls c="4">
          <tpl hier="8" item="0"/>
          <tpl fld="2" item="0"/>
          <tpl fld="0" item="6"/>
          <tpl hier="29" item="3"/>
        </tpls>
      </m>
      <m>
        <tpls c="4">
          <tpl hier="8" item="0"/>
          <tpl fld="2" item="0"/>
          <tpl fld="0" item="11"/>
          <tpl hier="29" item="3"/>
        </tpls>
      </m>
      <n v="673.34400000000005" in="0">
        <tpls c="4">
          <tpl hier="8" item="0"/>
          <tpl fld="2" item="0"/>
          <tpl fld="0" item="35"/>
          <tpl hier="29" item="3"/>
        </tpls>
      </n>
      <m>
        <tpls c="4">
          <tpl hier="8" item="0"/>
          <tpl fld="2" item="0"/>
          <tpl fld="0" item="42"/>
          <tpl hier="29" item="3"/>
        </tpls>
      </m>
      <m>
        <tpls c="4">
          <tpl hier="8" item="0"/>
          <tpl fld="2" item="0"/>
          <tpl fld="0" item="18"/>
          <tpl hier="29" item="3"/>
        </tpls>
      </m>
      <m>
        <tpls c="4">
          <tpl hier="8" item="0"/>
          <tpl fld="2" item="0"/>
          <tpl fld="0" item="30"/>
          <tpl hier="29" item="3"/>
        </tpls>
      </m>
      <m>
        <tpls c="4">
          <tpl hier="8" item="0"/>
          <tpl fld="2" item="0"/>
          <tpl fld="0" item="4"/>
          <tpl hier="29" item="3"/>
        </tpls>
      </m>
      <n v="1346.58" in="0">
        <tpls c="4">
          <tpl hier="8" item="0"/>
          <tpl fld="2" item="0"/>
          <tpl fld="0" item="39"/>
          <tpl hier="29" item="3"/>
        </tpls>
      </n>
      <m>
        <tpls c="4">
          <tpl hier="8" item="0"/>
          <tpl fld="2" item="0"/>
          <tpl fld="0" item="40"/>
          <tpl hier="29" item="3"/>
        </tpls>
      </m>
      <m>
        <tpls c="4">
          <tpl hier="8" item="0"/>
          <tpl fld="2" item="0"/>
          <tpl fld="0" item="26"/>
          <tpl hier="29" item="3"/>
        </tpls>
      </m>
      <n v="93372.729000000007" in="0">
        <tpls c="4">
          <tpl hier="8" item="0"/>
          <tpl fld="2" item="0"/>
          <tpl fld="0" item="17"/>
          <tpl hier="29" item="3"/>
        </tpls>
      </n>
      <n v="4759.3190000000004" in="0">
        <tpls c="4">
          <tpl hier="8" item="0"/>
          <tpl fld="2" item="0"/>
          <tpl fld="0" item="25"/>
          <tpl hier="29" item="3"/>
        </tpls>
      </n>
      <m>
        <tpls c="4">
          <tpl hier="8" item="0"/>
          <tpl fld="2" item="0"/>
          <tpl fld="0" item="34"/>
          <tpl hier="29" item="3"/>
        </tpls>
      </m>
      <m>
        <tpls c="4">
          <tpl hier="8" item="0"/>
          <tpl fld="2" item="0"/>
          <tpl fld="0" item="27"/>
          <tpl hier="29" item="3"/>
        </tpls>
      </m>
      <m>
        <tpls c="4">
          <tpl hier="8" item="0"/>
          <tpl fld="2" item="0"/>
          <tpl fld="0" item="13"/>
          <tpl hier="29" item="3"/>
        </tpls>
      </m>
      <m>
        <tpls c="4">
          <tpl hier="8" item="0"/>
          <tpl fld="2" item="0"/>
          <tpl fld="0" item="2"/>
          <tpl hier="29" item="3"/>
        </tpls>
      </m>
      <m>
        <tpls c="4">
          <tpl hier="8" item="0"/>
          <tpl fld="2" item="0"/>
          <tpl fld="0" item="32"/>
          <tpl hier="29" item="3"/>
        </tpls>
      </m>
      <m>
        <tpls c="4">
          <tpl hier="8" item="0"/>
          <tpl fld="2" item="0"/>
          <tpl fld="0" item="9"/>
          <tpl hier="29" item="3"/>
        </tpls>
      </m>
      <m>
        <tpls c="4">
          <tpl hier="8" item="0"/>
          <tpl fld="2" item="0"/>
          <tpl fld="0" item="7"/>
          <tpl hier="29" item="3"/>
        </tpls>
      </m>
      <m>
        <tpls c="4">
          <tpl hier="8" item="0"/>
          <tpl fld="2" item="0"/>
          <tpl fld="0" item="46"/>
          <tpl hier="29" item="3"/>
        </tpls>
      </m>
      <m>
        <tpls c="4">
          <tpl hier="8" item="0"/>
          <tpl fld="2" item="0"/>
          <tpl fld="0" item="24"/>
          <tpl hier="29" item="3"/>
        </tpls>
      </m>
      <n v="10919.064" in="0">
        <tpls c="4">
          <tpl hier="8" item="0"/>
          <tpl fld="2" item="0"/>
          <tpl fld="0" item="14"/>
          <tpl hier="29" item="3"/>
        </tpls>
      </n>
      <m>
        <tpls c="4">
          <tpl hier="8" item="0"/>
          <tpl fld="2" item="0"/>
          <tpl fld="0" item="0"/>
          <tpl hier="29" item="3"/>
        </tpls>
      </m>
      <m>
        <tpls c="4">
          <tpl hier="8" item="0"/>
          <tpl fld="2" item="0"/>
          <tpl fld="0" item="36"/>
          <tpl hier="29" item="3"/>
        </tpls>
      </m>
      <n v="1886.4739999999999" in="0">
        <tpls c="4">
          <tpl hier="8" item="0"/>
          <tpl fld="2" item="0"/>
          <tpl fld="0" item="28"/>
          <tpl hier="29" item="3"/>
        </tpls>
      </n>
      <m>
        <tpls c="4">
          <tpl hier="8" item="0"/>
          <tpl fld="2" item="0"/>
          <tpl fld="0" item="41"/>
          <tpl hier="29" item="3"/>
        </tpls>
      </m>
      <m>
        <tpls c="4">
          <tpl hier="8" item="0"/>
          <tpl fld="2" item="0"/>
          <tpl fld="0" item="15"/>
          <tpl hier="29" item="3"/>
        </tpls>
      </m>
      <m>
        <tpls c="4">
          <tpl hier="8" item="0"/>
          <tpl fld="2" item="0"/>
          <tpl fld="0" item="29"/>
          <tpl hier="29" item="3"/>
        </tpls>
      </m>
      <m>
        <tpls c="4">
          <tpl hier="8" item="0"/>
          <tpl fld="2" item="0"/>
          <tpl fld="0" item="47"/>
          <tpl hier="29" item="3"/>
        </tpls>
      </m>
      <m>
        <tpls c="4">
          <tpl hier="8" item="0"/>
          <tpl fld="2" item="0"/>
          <tpl fld="0" item="8"/>
          <tpl hier="29" item="3"/>
        </tpls>
      </m>
      <m>
        <tpls c="4">
          <tpl hier="8" item="0"/>
          <tpl fld="2" item="0"/>
          <tpl fld="0" item="45"/>
          <tpl hier="29" item="4"/>
        </tpls>
      </m>
      <m>
        <tpls c="4">
          <tpl hier="8" item="0"/>
          <tpl fld="2" item="0"/>
          <tpl fld="0" item="44"/>
          <tpl hier="29" item="4"/>
        </tpls>
      </m>
      <m>
        <tpls c="4">
          <tpl hier="8" item="0"/>
          <tpl fld="2" item="0"/>
          <tpl fld="0" item="23"/>
          <tpl hier="29" item="4"/>
        </tpls>
      </m>
      <m>
        <tpls c="4">
          <tpl hier="8" item="0"/>
          <tpl fld="2" item="0"/>
          <tpl fld="0" item="21"/>
          <tpl hier="29" item="4"/>
        </tpls>
      </m>
      <m>
        <tpls c="4">
          <tpl hier="8" item="0"/>
          <tpl fld="2" item="0"/>
          <tpl fld="0" item="5"/>
          <tpl hier="29" item="4"/>
        </tpls>
      </m>
      <m>
        <tpls c="4">
          <tpl hier="8" item="0"/>
          <tpl fld="2" item="0"/>
          <tpl fld="0" item="43"/>
          <tpl hier="29" item="4"/>
        </tpls>
      </m>
      <m>
        <tpls c="4">
          <tpl hier="8" item="0"/>
          <tpl fld="2" item="0"/>
          <tpl fld="0" item="33"/>
          <tpl hier="29" item="4"/>
        </tpls>
      </m>
      <n v="4317.8500000000004" in="0">
        <tpls c="4">
          <tpl hier="8" item="0"/>
          <tpl fld="2" item="0"/>
          <tpl fld="0" item="20"/>
          <tpl hier="29" item="4"/>
        </tpls>
      </n>
      <m>
        <tpls c="4">
          <tpl hier="8" item="0"/>
          <tpl fld="2" item="0"/>
          <tpl fld="0" item="12"/>
          <tpl hier="29" item="4"/>
        </tpls>
      </m>
      <n v="8321.48" in="0">
        <tpls c="4">
          <tpl hier="8" item="0"/>
          <tpl fld="2" item="0"/>
          <tpl fld="0" item="10"/>
          <tpl hier="29" item="4"/>
        </tpls>
      </n>
      <m>
        <tpls c="4">
          <tpl hier="8" item="0"/>
          <tpl fld="2" item="0"/>
          <tpl fld="0" item="38"/>
          <tpl hier="29" item="4"/>
        </tpls>
      </m>
      <m>
        <tpls c="4">
          <tpl hier="8" item="0"/>
          <tpl fld="2" item="0"/>
          <tpl fld="0" item="22"/>
          <tpl hier="29" item="4"/>
        </tpls>
      </m>
      <n v="22987.038" in="0">
        <tpls c="4">
          <tpl hier="8" item="0"/>
          <tpl fld="2" item="0"/>
          <tpl fld="0" item="1"/>
          <tpl hier="29" item="4"/>
        </tpls>
      </n>
      <m>
        <tpls c="4">
          <tpl hier="8" item="0"/>
          <tpl fld="2" item="0"/>
          <tpl fld="0" item="19"/>
          <tpl hier="29" item="4"/>
        </tpls>
      </m>
      <m>
        <tpls c="4">
          <tpl hier="8" item="0"/>
          <tpl fld="2" item="0"/>
          <tpl fld="0" item="31"/>
          <tpl hier="29" item="4"/>
        </tpls>
      </m>
      <m>
        <tpls c="4">
          <tpl hier="8" item="0"/>
          <tpl fld="2" item="0"/>
          <tpl fld="0" item="3"/>
          <tpl hier="29" item="4"/>
        </tpls>
      </m>
      <m>
        <tpls c="4">
          <tpl hier="8" item="0"/>
          <tpl fld="2" item="0"/>
          <tpl fld="0" item="16"/>
          <tpl hier="29" item="4"/>
        </tpls>
      </m>
      <n v="2963.03" in="0">
        <tpls c="4">
          <tpl hier="8" item="0"/>
          <tpl fld="2" item="0"/>
          <tpl fld="0" item="37"/>
          <tpl hier="29" item="4"/>
        </tpls>
      </n>
      <n v="3187.55" in="0">
        <tpls c="4">
          <tpl hier="8" item="0"/>
          <tpl fld="2" item="0"/>
          <tpl fld="0" item="6"/>
          <tpl hier="29" item="4"/>
        </tpls>
      </n>
      <m>
        <tpls c="4">
          <tpl hier="8" item="0"/>
          <tpl fld="2" item="0"/>
          <tpl fld="0" item="11"/>
          <tpl hier="29" item="4"/>
        </tpls>
      </m>
      <m>
        <tpls c="4">
          <tpl hier="8" item="0"/>
          <tpl fld="2" item="0"/>
          <tpl fld="0" item="35"/>
          <tpl hier="29" item="4"/>
        </tpls>
      </m>
      <n v="3078.25" in="0">
        <tpls c="4">
          <tpl hier="8" item="0"/>
          <tpl fld="2" item="0"/>
          <tpl fld="0" item="42"/>
          <tpl hier="29" item="4"/>
        </tpls>
      </n>
      <m>
        <tpls c="4">
          <tpl hier="8" item="0"/>
          <tpl fld="2" item="0"/>
          <tpl fld="0" item="18"/>
          <tpl hier="29" item="4"/>
        </tpls>
      </m>
      <m>
        <tpls c="4">
          <tpl hier="8" item="0"/>
          <tpl fld="2" item="0"/>
          <tpl fld="0" item="30"/>
          <tpl hier="29" item="4"/>
        </tpls>
      </m>
      <n v="13506.732" in="0">
        <tpls c="4">
          <tpl hier="8" item="0"/>
          <tpl fld="2" item="0"/>
          <tpl fld="0" item="4"/>
          <tpl hier="29" item="4"/>
        </tpls>
      </n>
      <m>
        <tpls c="4">
          <tpl hier="8" item="0"/>
          <tpl fld="2" item="0"/>
          <tpl fld="0" item="39"/>
          <tpl hier="29" item="4"/>
        </tpls>
      </m>
      <m>
        <tpls c="4">
          <tpl hier="8" item="0"/>
          <tpl fld="2" item="0"/>
          <tpl fld="0" item="40"/>
          <tpl hier="29" item="4"/>
        </tpls>
      </m>
      <m>
        <tpls c="4">
          <tpl hier="8" item="0"/>
          <tpl fld="2" item="0"/>
          <tpl fld="0" item="26"/>
          <tpl hier="29" item="4"/>
        </tpls>
      </m>
      <m>
        <tpls c="4">
          <tpl hier="8" item="0"/>
          <tpl fld="2" item="0"/>
          <tpl fld="0" item="17"/>
          <tpl hier="29" item="4"/>
        </tpls>
      </m>
      <m>
        <tpls c="4">
          <tpl hier="8" item="0"/>
          <tpl fld="2" item="0"/>
          <tpl fld="0" item="25"/>
          <tpl hier="29" item="4"/>
        </tpls>
      </m>
      <m>
        <tpls c="4">
          <tpl hier="8" item="0"/>
          <tpl fld="2" item="0"/>
          <tpl fld="0" item="34"/>
          <tpl hier="29" item="4"/>
        </tpls>
      </m>
      <n v="12126.84" in="0">
        <tpls c="4">
          <tpl hier="8" item="0"/>
          <tpl fld="2" item="0"/>
          <tpl fld="0" item="27"/>
          <tpl hier="29" item="4"/>
        </tpls>
      </n>
      <m>
        <tpls c="4">
          <tpl hier="8" item="0"/>
          <tpl fld="2" item="0"/>
          <tpl fld="0" item="13"/>
          <tpl hier="29" item="4"/>
        </tpls>
      </m>
      <n v="6332.48" in="0">
        <tpls c="4">
          <tpl hier="8" item="0"/>
          <tpl fld="2" item="0"/>
          <tpl fld="0" item="2"/>
          <tpl hier="29" item="4"/>
        </tpls>
      </n>
      <m>
        <tpls c="4">
          <tpl hier="8" item="0"/>
          <tpl fld="2" item="0"/>
          <tpl fld="0" item="32"/>
          <tpl hier="29" item="4"/>
        </tpls>
      </m>
      <m>
        <tpls c="4">
          <tpl hier="8" item="0"/>
          <tpl fld="2" item="0"/>
          <tpl fld="0" item="9"/>
          <tpl hier="29" item="4"/>
        </tpls>
      </m>
      <m>
        <tpls c="4">
          <tpl hier="8" item="0"/>
          <tpl fld="2" item="0"/>
          <tpl fld="0" item="7"/>
          <tpl hier="29" item="4"/>
        </tpls>
      </m>
      <n v="15155.484" in="0">
        <tpls c="4">
          <tpl hier="8" item="0"/>
          <tpl fld="2" item="0"/>
          <tpl fld="0" item="46"/>
          <tpl hier="29" item="4"/>
        </tpls>
      </n>
      <m>
        <tpls c="4">
          <tpl hier="8" item="0"/>
          <tpl fld="2" item="0"/>
          <tpl fld="0" item="24"/>
          <tpl hier="29" item="4"/>
        </tpls>
      </m>
      <m>
        <tpls c="4">
          <tpl hier="8" item="0"/>
          <tpl fld="2" item="0"/>
          <tpl fld="0" item="14"/>
          <tpl hier="29" item="4"/>
        </tpls>
      </m>
      <m>
        <tpls c="4">
          <tpl hier="8" item="0"/>
          <tpl fld="2" item="0"/>
          <tpl fld="0" item="0"/>
          <tpl hier="29" item="4"/>
        </tpls>
      </m>
      <m>
        <tpls c="4">
          <tpl hier="8" item="0"/>
          <tpl fld="2" item="0"/>
          <tpl fld="0" item="36"/>
          <tpl hier="29" item="4"/>
        </tpls>
      </m>
      <m>
        <tpls c="4">
          <tpl hier="8" item="0"/>
          <tpl fld="2" item="0"/>
          <tpl fld="0" item="28"/>
          <tpl hier="29" item="4"/>
        </tpls>
      </m>
      <n v="25321.95" in="0">
        <tpls c="4">
          <tpl hier="8" item="0"/>
          <tpl fld="2" item="0"/>
          <tpl fld="0" item="41"/>
          <tpl hier="29" item="4"/>
        </tpls>
      </n>
      <m>
        <tpls c="4">
          <tpl hier="8" item="0"/>
          <tpl fld="2" item="0"/>
          <tpl fld="0" item="15"/>
          <tpl hier="29" item="4"/>
        </tpls>
      </m>
      <m>
        <tpls c="4">
          <tpl hier="8" item="0"/>
          <tpl fld="2" item="0"/>
          <tpl fld="0" item="29"/>
          <tpl hier="29" item="4"/>
        </tpls>
      </m>
      <m>
        <tpls c="4">
          <tpl hier="8" item="0"/>
          <tpl fld="2" item="0"/>
          <tpl fld="0" item="47"/>
          <tpl hier="29" item="4"/>
        </tpls>
      </m>
      <m>
        <tpls c="4">
          <tpl hier="8" item="0"/>
          <tpl fld="2" item="0"/>
          <tpl fld="0" item="8"/>
          <tpl hier="29" item="4"/>
        </tpls>
      </m>
      <n v="38543.572500000002" in="0">
        <tpls c="3">
          <tpl hier="8" item="6"/>
          <tpl fld="2" item="0"/>
          <tpl fld="1" item="0"/>
        </tpls>
      </n>
      <n v="4682.8639999999996" in="0">
        <tpls c="4">
          <tpl hier="8" item="6"/>
          <tpl fld="2" item="0"/>
          <tpl fld="0" item="45"/>
          <tpl hier="29" item="1"/>
        </tpls>
      </n>
      <n v="39150.423499999997" in="0">
        <tpls c="3">
          <tpl hier="8" item="6"/>
          <tpl fld="2" item="0"/>
          <tpl fld="1" item="2"/>
        </tpls>
      </n>
      <m in="0">
        <tpls c="4">
          <tpl hier="8" item="6"/>
          <tpl fld="2" item="0"/>
          <tpl fld="0" item="44"/>
          <tpl hier="29" item="1"/>
        </tpls>
      </m>
      <n v="604.9" in="0">
        <tpls c="4">
          <tpl hier="8" item="6"/>
          <tpl fld="2" item="0"/>
          <tpl fld="0" item="23"/>
          <tpl hier="29" item="1"/>
        </tpls>
      </n>
      <n v="28.4" in="0">
        <tpls c="4">
          <tpl hier="8" item="6"/>
          <tpl fld="2" item="0"/>
          <tpl fld="0" item="21"/>
          <tpl hier="29" item="1"/>
        </tpls>
      </n>
      <n v="1612.35" in="0">
        <tpls c="4">
          <tpl hier="8" item="6"/>
          <tpl fld="2" item="0"/>
          <tpl fld="0" item="5"/>
          <tpl hier="29" item="1"/>
        </tpls>
      </n>
      <n v="1408.1" in="0">
        <tpls c="4">
          <tpl hier="8" item="6"/>
          <tpl fld="2" item="0"/>
          <tpl fld="0" item="43"/>
          <tpl hier="29" item="1"/>
        </tpls>
      </n>
      <n v="9504.875" in="0">
        <tpls c="4">
          <tpl hier="8" item="6"/>
          <tpl fld="2" item="0"/>
          <tpl fld="0" item="33"/>
          <tpl hier="29" item="1"/>
        </tpls>
      </n>
      <n v="6.16" in="0">
        <tpls c="4">
          <tpl hier="8" item="6"/>
          <tpl fld="2" item="0"/>
          <tpl fld="0" item="20"/>
          <tpl hier="29" item="1"/>
        </tpls>
      </n>
      <n v="17.2" in="0">
        <tpls c="4">
          <tpl hier="8" item="6"/>
          <tpl fld="2" item="0"/>
          <tpl fld="0" item="12"/>
          <tpl hier="29" item="1"/>
        </tpls>
      </n>
      <n v="1421.55" in="0">
        <tpls c="4">
          <tpl hier="8" item="6"/>
          <tpl fld="2" item="0"/>
          <tpl fld="0" item="10"/>
          <tpl hier="29" item="1"/>
        </tpls>
      </n>
      <n v="5120.1000000000004" in="0">
        <tpls c="4">
          <tpl hier="8" item="6"/>
          <tpl fld="2" item="0"/>
          <tpl fld="0" item="38"/>
          <tpl hier="29" item="1"/>
        </tpls>
      </n>
      <n v="12099.178" in="0">
        <tpls c="4">
          <tpl hier="8" item="6"/>
          <tpl fld="2" item="0"/>
          <tpl fld="0" item="22"/>
          <tpl hier="29" item="1"/>
        </tpls>
      </n>
      <n v="5524.0065000000004" in="0">
        <tpls c="4">
          <tpl hier="8" item="6"/>
          <tpl fld="2" item="0"/>
          <tpl fld="0" item="1"/>
          <tpl hier="29" item="1"/>
        </tpls>
      </n>
      <m in="0">
        <tpls c="4">
          <tpl hier="8" item="6"/>
          <tpl fld="2" item="0"/>
          <tpl fld="0" item="19"/>
          <tpl hier="29" item="1"/>
        </tpls>
      </m>
      <n v="22.2" in="0">
        <tpls c="4">
          <tpl hier="8" item="6"/>
          <tpl fld="2" item="0"/>
          <tpl fld="0" item="31"/>
          <tpl hier="29" item="1"/>
        </tpls>
      </n>
      <n v="875.88" in="0">
        <tpls c="4">
          <tpl hier="8" item="6"/>
          <tpl fld="2" item="0"/>
          <tpl fld="0" item="3"/>
          <tpl hier="29" item="1"/>
        </tpls>
      </n>
      <n v="12338.785" in="0">
        <tpls c="4">
          <tpl hier="8" item="6"/>
          <tpl fld="2" item="0"/>
          <tpl fld="0" item="16"/>
          <tpl hier="29" item="1"/>
        </tpls>
      </n>
      <n v="632.64" in="0">
        <tpls c="4">
          <tpl hier="8" item="6"/>
          <tpl fld="2" item="0"/>
          <tpl fld="0" item="37"/>
          <tpl hier="29" item="1"/>
        </tpls>
      </n>
      <n v="301.95999999999998" in="0">
        <tpls c="4">
          <tpl hier="8" item="6"/>
          <tpl fld="2" item="0"/>
          <tpl fld="0" item="6"/>
          <tpl hier="29" item="1"/>
        </tpls>
      </n>
      <m in="0">
        <tpls c="4">
          <tpl hier="8" item="6"/>
          <tpl fld="2" item="0"/>
          <tpl fld="0" item="11"/>
          <tpl hier="29" item="1"/>
        </tpls>
      </m>
      <m in="0">
        <tpls c="4">
          <tpl hier="8" item="6"/>
          <tpl fld="2" item="0"/>
          <tpl fld="0" item="35"/>
          <tpl hier="29" item="1"/>
        </tpls>
      </m>
      <n v="1690.04" in="0">
        <tpls c="4">
          <tpl hier="8" item="6"/>
          <tpl fld="2" item="0"/>
          <tpl fld="0" item="42"/>
          <tpl hier="29" item="1"/>
        </tpls>
      </n>
      <n v="1247" in="0">
        <tpls c="4">
          <tpl hier="8" item="6"/>
          <tpl fld="2" item="0"/>
          <tpl fld="0" item="18"/>
          <tpl hier="29" item="1"/>
        </tpls>
      </n>
      <n v="645.99400000000003" in="0">
        <tpls c="4">
          <tpl hier="8" item="6"/>
          <tpl fld="2" item="0"/>
          <tpl fld="0" item="30"/>
          <tpl hier="29" item="1"/>
        </tpls>
      </n>
      <n v="3118.0479999999998" in="0">
        <tpls c="4">
          <tpl hier="8" item="6"/>
          <tpl fld="2" item="0"/>
          <tpl fld="0" item="4"/>
          <tpl hier="29" item="1"/>
        </tpls>
      </n>
      <n v="1267.53" in="0">
        <tpls c="4">
          <tpl hier="8" item="6"/>
          <tpl fld="2" item="0"/>
          <tpl fld="0" item="39"/>
          <tpl hier="29" item="1"/>
        </tpls>
      </n>
      <m in="0">
        <tpls c="4">
          <tpl hier="8" item="6"/>
          <tpl fld="2" item="0"/>
          <tpl fld="0" item="40"/>
          <tpl hier="29" item="1"/>
        </tpls>
      </m>
      <n v="3873.433" in="0">
        <tpls c="4">
          <tpl hier="8" item="6"/>
          <tpl fld="2" item="0"/>
          <tpl fld="0" item="26"/>
          <tpl hier="29" item="1"/>
        </tpls>
      </n>
      <n v="26050.474999999999" in="0">
        <tpls c="4">
          <tpl hier="8" item="6"/>
          <tpl fld="2" item="0"/>
          <tpl fld="0" item="17"/>
          <tpl hier="29" item="1"/>
        </tpls>
      </n>
      <n v="2419.7860000000001" in="0">
        <tpls c="4">
          <tpl hier="8" item="6"/>
          <tpl fld="2" item="0"/>
          <tpl fld="0" item="25"/>
          <tpl hier="29" item="1"/>
        </tpls>
      </n>
      <n v="63.98" in="0">
        <tpls c="4">
          <tpl hier="8" item="6"/>
          <tpl fld="2" item="0"/>
          <tpl fld="0" item="34"/>
          <tpl hier="29" item="1"/>
        </tpls>
      </n>
      <n v="1122.83" in="0">
        <tpls c="4">
          <tpl hier="8" item="6"/>
          <tpl fld="2" item="0"/>
          <tpl fld="0" item="27"/>
          <tpl hier="29" item="1"/>
        </tpls>
      </n>
      <n v="1114.192" in="0">
        <tpls c="4">
          <tpl hier="8" item="6"/>
          <tpl fld="2" item="0"/>
          <tpl fld="0" item="13"/>
          <tpl hier="29" item="1"/>
        </tpls>
      </n>
      <n v="2238.7600000000002" in="0">
        <tpls c="4">
          <tpl hier="8" item="6"/>
          <tpl fld="2" item="0"/>
          <tpl fld="0" item="2"/>
          <tpl hier="29" item="1"/>
        </tpls>
      </n>
      <n v="2002.508" in="0">
        <tpls c="4">
          <tpl hier="8" item="6"/>
          <tpl fld="2" item="0"/>
          <tpl fld="0" item="32"/>
          <tpl hier="29" item="1"/>
        </tpls>
      </n>
      <n v="222.92" in="0">
        <tpls c="4">
          <tpl hier="8" item="6"/>
          <tpl fld="2" item="0"/>
          <tpl fld="0" item="9"/>
          <tpl hier="29" item="1"/>
        </tpls>
      </n>
      <n v="2936.4" in="0">
        <tpls c="4">
          <tpl hier="8" item="6"/>
          <tpl fld="2" item="0"/>
          <tpl fld="0" item="7"/>
          <tpl hier="29" item="1"/>
        </tpls>
      </n>
      <n v="5337.3" in="0">
        <tpls c="4">
          <tpl hier="8" item="6"/>
          <tpl fld="2" item="0"/>
          <tpl fld="0" item="46"/>
          <tpl hier="29" item="1"/>
        </tpls>
      </n>
      <n v="1051.78" in="0">
        <tpls c="4">
          <tpl hier="8" item="6"/>
          <tpl fld="2" item="0"/>
          <tpl fld="0" item="24"/>
          <tpl hier="29" item="1"/>
        </tpls>
      </n>
      <n v="71734.528999999995" in="0">
        <tpls c="3">
          <tpl hier="8" item="6"/>
          <tpl fld="2" item="0"/>
          <tpl fld="1" item="3"/>
        </tpls>
      </n>
      <n v="2198.4580000000001" in="0">
        <tpls c="4">
          <tpl hier="8" item="6"/>
          <tpl fld="2" item="0"/>
          <tpl fld="0" item="14"/>
          <tpl hier="29" item="1"/>
        </tpls>
      </n>
      <n v="32500.0285" in="0">
        <tpls c="4">
          <tpl hier="8" item="6"/>
          <tpl fld="2" item="0"/>
          <tpl fld="0" item="0"/>
          <tpl hier="29" item="1"/>
        </tpls>
      </n>
      <n v="5067.07" in="0">
        <tpls c="4">
          <tpl hier="8" item="6"/>
          <tpl fld="2" item="0"/>
          <tpl fld="0" item="36"/>
          <tpl hier="29" item="1"/>
        </tpls>
      </n>
      <n v="1053.164" in="0">
        <tpls c="4">
          <tpl hier="8" item="6"/>
          <tpl fld="2" item="0"/>
          <tpl fld="0" item="28"/>
          <tpl hier="29" item="1"/>
        </tpls>
      </n>
      <n v="2710.52" in="0">
        <tpls c="4">
          <tpl hier="8" item="6"/>
          <tpl fld="2" item="0"/>
          <tpl fld="0" item="41"/>
          <tpl hier="29" item="1"/>
        </tpls>
      </n>
      <n v="1323.9" in="0">
        <tpls c="4">
          <tpl hier="8" item="6"/>
          <tpl fld="2" item="0"/>
          <tpl fld="0" item="15"/>
          <tpl hier="29" item="1"/>
        </tpls>
      </n>
      <n v="6142.4520000000002" in="0">
        <tpls c="4">
          <tpl hier="8" item="6"/>
          <tpl fld="2" item="0"/>
          <tpl fld="0" item="29"/>
          <tpl hier="29" item="1"/>
        </tpls>
      </n>
      <n v="21089.712" in="0">
        <tpls c="3">
          <tpl hier="8" item="6"/>
          <tpl fld="2" item="0"/>
          <tpl fld="1" item="1"/>
        </tpls>
      </n>
      <n v="3430.93" in="0">
        <tpls c="4">
          <tpl hier="8" item="6"/>
          <tpl fld="2" item="0"/>
          <tpl fld="0" item="47"/>
          <tpl hier="29" item="1"/>
        </tpls>
      </n>
      <n v="3487.59" in="0">
        <tpls c="4">
          <tpl hier="8" item="6"/>
          <tpl fld="2" item="0"/>
          <tpl fld="0" item="8"/>
          <tpl hier="29" item="1"/>
        </tpls>
      </n>
      <m>
        <tpls c="4">
          <tpl hier="8" item="6"/>
          <tpl fld="2" item="0"/>
          <tpl fld="0" item="45"/>
          <tpl hier="29" item="4"/>
        </tpls>
      </m>
      <m>
        <tpls c="4">
          <tpl hier="8" item="6"/>
          <tpl fld="2" item="0"/>
          <tpl fld="0" item="44"/>
          <tpl hier="29" item="4"/>
        </tpls>
      </m>
      <m>
        <tpls c="4">
          <tpl hier="8" item="6"/>
          <tpl fld="2" item="0"/>
          <tpl fld="0" item="23"/>
          <tpl hier="29" item="4"/>
        </tpls>
      </m>
      <m>
        <tpls c="4">
          <tpl hier="8" item="6"/>
          <tpl fld="2" item="0"/>
          <tpl fld="0" item="21"/>
          <tpl hier="29" item="4"/>
        </tpls>
      </m>
      <m>
        <tpls c="4">
          <tpl hier="8" item="6"/>
          <tpl fld="2" item="0"/>
          <tpl fld="0" item="5"/>
          <tpl hier="29" item="4"/>
        </tpls>
      </m>
      <m>
        <tpls c="4">
          <tpl hier="8" item="6"/>
          <tpl fld="2" item="0"/>
          <tpl fld="0" item="43"/>
          <tpl hier="29" item="4"/>
        </tpls>
      </m>
      <m>
        <tpls c="4">
          <tpl hier="8" item="6"/>
          <tpl fld="2" item="0"/>
          <tpl fld="0" item="33"/>
          <tpl hier="29" item="4"/>
        </tpls>
      </m>
      <n v="6.16" in="0">
        <tpls c="4">
          <tpl hier="8" item="6"/>
          <tpl fld="2" item="0"/>
          <tpl fld="0" item="20"/>
          <tpl hier="29" item="4"/>
        </tpls>
      </n>
      <m>
        <tpls c="4">
          <tpl hier="8" item="6"/>
          <tpl fld="2" item="0"/>
          <tpl fld="0" item="12"/>
          <tpl hier="29" item="4"/>
        </tpls>
      </m>
      <n v="1421.55" in="0">
        <tpls c="4">
          <tpl hier="8" item="6"/>
          <tpl fld="2" item="0"/>
          <tpl fld="0" item="10"/>
          <tpl hier="29" item="4"/>
        </tpls>
      </n>
      <m>
        <tpls c="4">
          <tpl hier="8" item="6"/>
          <tpl fld="2" item="0"/>
          <tpl fld="0" item="38"/>
          <tpl hier="29" item="4"/>
        </tpls>
      </m>
      <m>
        <tpls c="4">
          <tpl hier="8" item="6"/>
          <tpl fld="2" item="0"/>
          <tpl fld="0" item="22"/>
          <tpl hier="29" item="4"/>
        </tpls>
      </m>
      <n v="5524.0065000000004" in="0">
        <tpls c="4">
          <tpl hier="8" item="6"/>
          <tpl fld="2" item="0"/>
          <tpl fld="0" item="1"/>
          <tpl hier="29" item="4"/>
        </tpls>
      </n>
      <m>
        <tpls c="4">
          <tpl hier="8" item="6"/>
          <tpl fld="2" item="0"/>
          <tpl fld="0" item="19"/>
          <tpl hier="29" item="4"/>
        </tpls>
      </m>
      <m>
        <tpls c="4">
          <tpl hier="8" item="6"/>
          <tpl fld="2" item="0"/>
          <tpl fld="0" item="31"/>
          <tpl hier="29" item="4"/>
        </tpls>
      </m>
      <m>
        <tpls c="4">
          <tpl hier="8" item="6"/>
          <tpl fld="2" item="0"/>
          <tpl fld="0" item="3"/>
          <tpl hier="29" item="4"/>
        </tpls>
      </m>
      <m>
        <tpls c="4">
          <tpl hier="8" item="6"/>
          <tpl fld="2" item="0"/>
          <tpl fld="0" item="16"/>
          <tpl hier="29" item="4"/>
        </tpls>
      </m>
      <n v="632.64" in="0">
        <tpls c="4">
          <tpl hier="8" item="6"/>
          <tpl fld="2" item="0"/>
          <tpl fld="0" item="37"/>
          <tpl hier="29" item="4"/>
        </tpls>
      </n>
      <n v="301.95999999999998" in="0">
        <tpls c="4">
          <tpl hier="8" item="6"/>
          <tpl fld="2" item="0"/>
          <tpl fld="0" item="6"/>
          <tpl hier="29" item="4"/>
        </tpls>
      </n>
      <m>
        <tpls c="4">
          <tpl hier="8" item="6"/>
          <tpl fld="2" item="0"/>
          <tpl fld="0" item="11"/>
          <tpl hier="29" item="4"/>
        </tpls>
      </m>
      <m>
        <tpls c="4">
          <tpl hier="8" item="6"/>
          <tpl fld="2" item="0"/>
          <tpl fld="0" item="35"/>
          <tpl hier="29" item="4"/>
        </tpls>
      </m>
      <n v="1690.04" in="0">
        <tpls c="4">
          <tpl hier="8" item="6"/>
          <tpl fld="2" item="0"/>
          <tpl fld="0" item="42"/>
          <tpl hier="29" item="4"/>
        </tpls>
      </n>
      <m>
        <tpls c="4">
          <tpl hier="8" item="6"/>
          <tpl fld="2" item="0"/>
          <tpl fld="0" item="18"/>
          <tpl hier="29" item="4"/>
        </tpls>
      </m>
      <m>
        <tpls c="4">
          <tpl hier="8" item="6"/>
          <tpl fld="2" item="0"/>
          <tpl fld="0" item="30"/>
          <tpl hier="29" item="4"/>
        </tpls>
      </m>
      <n v="3118.0479999999998" in="0">
        <tpls c="4">
          <tpl hier="8" item="6"/>
          <tpl fld="2" item="0"/>
          <tpl fld="0" item="4"/>
          <tpl hier="29" item="4"/>
        </tpls>
      </n>
      <m>
        <tpls c="4">
          <tpl hier="8" item="6"/>
          <tpl fld="2" item="0"/>
          <tpl fld="0" item="39"/>
          <tpl hier="29" item="4"/>
        </tpls>
      </m>
      <m>
        <tpls c="4">
          <tpl hier="8" item="6"/>
          <tpl fld="2" item="0"/>
          <tpl fld="0" item="40"/>
          <tpl hier="29" item="4"/>
        </tpls>
      </m>
      <m>
        <tpls c="4">
          <tpl hier="8" item="6"/>
          <tpl fld="2" item="0"/>
          <tpl fld="0" item="26"/>
          <tpl hier="29" item="4"/>
        </tpls>
      </m>
      <m>
        <tpls c="4">
          <tpl hier="8" item="6"/>
          <tpl fld="2" item="0"/>
          <tpl fld="0" item="17"/>
          <tpl hier="29" item="4"/>
        </tpls>
      </m>
      <m>
        <tpls c="4">
          <tpl hier="8" item="6"/>
          <tpl fld="2" item="0"/>
          <tpl fld="0" item="25"/>
          <tpl hier="29" item="4"/>
        </tpls>
      </m>
      <m>
        <tpls c="4">
          <tpl hier="8" item="6"/>
          <tpl fld="2" item="0"/>
          <tpl fld="0" item="34"/>
          <tpl hier="29" item="4"/>
        </tpls>
      </m>
      <n v="1122.83" in="0">
        <tpls c="4">
          <tpl hier="8" item="6"/>
          <tpl fld="2" item="0"/>
          <tpl fld="0" item="27"/>
          <tpl hier="29" item="4"/>
        </tpls>
      </n>
      <m>
        <tpls c="4">
          <tpl hier="8" item="6"/>
          <tpl fld="2" item="0"/>
          <tpl fld="0" item="13"/>
          <tpl hier="29" item="4"/>
        </tpls>
      </m>
      <n v="2238.7600000000002" in="0">
        <tpls c="4">
          <tpl hier="8" item="6"/>
          <tpl fld="2" item="0"/>
          <tpl fld="0" item="2"/>
          <tpl hier="29" item="4"/>
        </tpls>
      </n>
      <m>
        <tpls c="4">
          <tpl hier="8" item="6"/>
          <tpl fld="2" item="0"/>
          <tpl fld="0" item="32"/>
          <tpl hier="29" item="4"/>
        </tpls>
      </m>
      <m>
        <tpls c="4">
          <tpl hier="8" item="6"/>
          <tpl fld="2" item="0"/>
          <tpl fld="0" item="9"/>
          <tpl hier="29" item="4"/>
        </tpls>
      </m>
      <m>
        <tpls c="4">
          <tpl hier="8" item="6"/>
          <tpl fld="2" item="0"/>
          <tpl fld="0" item="7"/>
          <tpl hier="29" item="4"/>
        </tpls>
      </m>
      <n v="5337.3" in="0">
        <tpls c="4">
          <tpl hier="8" item="6"/>
          <tpl fld="2" item="0"/>
          <tpl fld="0" item="46"/>
          <tpl hier="29" item="4"/>
        </tpls>
      </n>
      <m>
        <tpls c="4">
          <tpl hier="8" item="6"/>
          <tpl fld="2" item="0"/>
          <tpl fld="0" item="24"/>
          <tpl hier="29" item="4"/>
        </tpls>
      </m>
      <m>
        <tpls c="4">
          <tpl hier="8" item="6"/>
          <tpl fld="2" item="0"/>
          <tpl fld="0" item="14"/>
          <tpl hier="29" item="4"/>
        </tpls>
      </m>
      <m>
        <tpls c="4">
          <tpl hier="8" item="6"/>
          <tpl fld="2" item="0"/>
          <tpl fld="0" item="0"/>
          <tpl hier="29" item="4"/>
        </tpls>
      </m>
      <m>
        <tpls c="4">
          <tpl hier="8" item="6"/>
          <tpl fld="2" item="0"/>
          <tpl fld="0" item="36"/>
          <tpl hier="29" item="4"/>
        </tpls>
      </m>
      <m>
        <tpls c="4">
          <tpl hier="8" item="6"/>
          <tpl fld="2" item="0"/>
          <tpl fld="0" item="28"/>
          <tpl hier="29" item="4"/>
        </tpls>
      </m>
      <n v="2710.52" in="0">
        <tpls c="4">
          <tpl hier="8" item="6"/>
          <tpl fld="2" item="0"/>
          <tpl fld="0" item="41"/>
          <tpl hier="29" item="4"/>
        </tpls>
      </n>
      <m>
        <tpls c="4">
          <tpl hier="8" item="6"/>
          <tpl fld="2" item="0"/>
          <tpl fld="0" item="15"/>
          <tpl hier="29" item="4"/>
        </tpls>
      </m>
      <m>
        <tpls c="4">
          <tpl hier="8" item="6"/>
          <tpl fld="2" item="0"/>
          <tpl fld="0" item="29"/>
          <tpl hier="29" item="4"/>
        </tpls>
      </m>
      <m>
        <tpls c="4">
          <tpl hier="8" item="6"/>
          <tpl fld="2" item="0"/>
          <tpl fld="0" item="47"/>
          <tpl hier="29" item="4"/>
        </tpls>
      </m>
      <m>
        <tpls c="4">
          <tpl hier="8" item="6"/>
          <tpl fld="2" item="0"/>
          <tpl fld="0" item="8"/>
          <tpl hier="29" item="4"/>
        </tpls>
      </m>
      <n v="2642.31" in="0">
        <tpls c="4">
          <tpl hier="8" item="0"/>
          <tpl fld="2" item="0"/>
          <tpl fld="0" item="43"/>
          <tpl hier="29" item="7"/>
        </tpls>
      </n>
      <n v="11496.71" in="0">
        <tpls c="4">
          <tpl hier="8" item="0"/>
          <tpl fld="2" item="0"/>
          <tpl fld="0" item="5"/>
          <tpl hier="29" item="7"/>
        </tpls>
      </n>
      <m>
        <tpls c="4">
          <tpl hier="8" item="0"/>
          <tpl fld="2" item="0"/>
          <tpl fld="0" item="17"/>
          <tpl hier="29" item="7"/>
        </tpls>
      </m>
      <m>
        <tpls c="4">
          <tpl hier="8" item="0"/>
          <tpl fld="2" item="0"/>
          <tpl fld="0" item="38"/>
          <tpl hier="29" item="7"/>
        </tpls>
      </m>
      <m>
        <tpls c="4">
          <tpl hier="8" item="0"/>
          <tpl fld="2" item="0"/>
          <tpl fld="0" item="6"/>
          <tpl hier="29" item="7"/>
        </tpls>
      </m>
      <m>
        <tpls c="4">
          <tpl hier="8" item="0"/>
          <tpl fld="2" item="0"/>
          <tpl fld="0" item="42"/>
          <tpl hier="29" item="7"/>
        </tpls>
      </m>
      <m>
        <tpls c="4">
          <tpl hier="8" item="0"/>
          <tpl fld="2" item="0"/>
          <tpl fld="0" item="35"/>
          <tpl hier="29" item="7"/>
        </tpls>
      </m>
      <n v="1944.7" in="0">
        <tpls c="4">
          <tpl hier="8" item="0"/>
          <tpl fld="2" item="0"/>
          <tpl fld="0" item="21"/>
          <tpl hier="29" item="7"/>
        </tpls>
      </n>
      <m>
        <tpls c="4">
          <tpl hier="8" item="0"/>
          <tpl fld="2" item="0"/>
          <tpl fld="0" item="23"/>
          <tpl hier="29" item="7"/>
        </tpls>
      </m>
      <m>
        <tpls c="4">
          <tpl hier="8" item="0"/>
          <tpl fld="2" item="0"/>
          <tpl fld="0" item="11"/>
          <tpl hier="29" item="7"/>
        </tpls>
      </m>
      <m>
        <tpls c="4">
          <tpl hier="8" item="0"/>
          <tpl fld="2" item="0"/>
          <tpl fld="0" item="31"/>
          <tpl hier="29" item="7"/>
        </tpls>
      </m>
      <m>
        <tpls c="4">
          <tpl hier="8" item="0"/>
          <tpl fld="2" item="0"/>
          <tpl fld="0" item="19"/>
          <tpl hier="29" item="7"/>
        </tpls>
      </m>
      <n v="60593.291799999999" in="0">
        <tpls c="4">
          <tpl hier="8" item="0"/>
          <tpl fld="2" item="0"/>
          <tpl fld="0" item="16"/>
          <tpl hier="29" item="7"/>
        </tpls>
      </n>
      <m>
        <tpls c="4">
          <tpl hier="8" item="0"/>
          <tpl fld="2" item="0"/>
          <tpl fld="0" item="3"/>
          <tpl hier="29" item="7"/>
        </tpls>
      </m>
      <m>
        <tpls c="4">
          <tpl hier="8" item="0"/>
          <tpl fld="2" item="0"/>
          <tpl fld="0" item="10"/>
          <tpl hier="29" item="7"/>
        </tpls>
      </m>
      <n v="324.89999999999998" in="0">
        <tpls c="4">
          <tpl hier="8" item="0"/>
          <tpl fld="2" item="0"/>
          <tpl fld="0" item="40"/>
          <tpl hier="29" item="7"/>
        </tpls>
      </n>
      <m>
        <tpls c="4">
          <tpl hier="8" item="0"/>
          <tpl fld="2" item="0"/>
          <tpl fld="0" item="39"/>
          <tpl hier="29" item="7"/>
        </tpls>
      </m>
      <m>
        <tpls c="4">
          <tpl hier="8" item="0"/>
          <tpl fld="2" item="0"/>
          <tpl fld="0" item="12"/>
          <tpl hier="29" item="7"/>
        </tpls>
      </m>
      <m>
        <tpls c="4">
          <tpl hier="8" item="0"/>
          <tpl fld="2" item="0"/>
          <tpl fld="0" item="4"/>
          <tpl hier="29" item="7"/>
        </tpls>
      </m>
      <n v="2936.45" in="0">
        <tpls c="4">
          <tpl hier="8" item="0"/>
          <tpl fld="2" item="0"/>
          <tpl fld="0" item="18"/>
          <tpl hier="29" item="7"/>
        </tpls>
      </n>
      <m>
        <tpls c="4">
          <tpl hier="8" item="0"/>
          <tpl fld="2" item="0"/>
          <tpl fld="0" item="45"/>
          <tpl hier="29" item="7"/>
        </tpls>
      </m>
      <m>
        <tpls c="4">
          <tpl hier="8" item="0"/>
          <tpl fld="2" item="0"/>
          <tpl fld="0" item="1"/>
          <tpl hier="29" item="7"/>
        </tpls>
      </m>
      <m>
        <tpls c="4">
          <tpl hier="8" item="0"/>
          <tpl fld="2" item="0"/>
          <tpl fld="0" item="37"/>
          <tpl hier="29" item="7"/>
        </tpls>
      </m>
      <m>
        <tpls c="4">
          <tpl hier="8" item="0"/>
          <tpl fld="2" item="0"/>
          <tpl fld="0" item="26"/>
          <tpl hier="29" item="7"/>
        </tpls>
      </m>
      <m>
        <tpls c="4">
          <tpl hier="8" item="0"/>
          <tpl fld="2" item="0"/>
          <tpl fld="0" item="33"/>
          <tpl hier="29" item="7"/>
        </tpls>
      </m>
      <n v="111.12" in="0">
        <tpls c="4">
          <tpl hier="8" item="0"/>
          <tpl fld="2" item="0"/>
          <tpl fld="0" item="44"/>
          <tpl hier="29" item="7"/>
        </tpls>
      </n>
      <m>
        <tpls c="4">
          <tpl hier="8" item="0"/>
          <tpl fld="2" item="0"/>
          <tpl fld="0" item="22"/>
          <tpl hier="29" item="7"/>
        </tpls>
      </m>
      <m>
        <tpls c="4">
          <tpl hier="8" item="0"/>
          <tpl fld="2" item="0"/>
          <tpl fld="0" item="30"/>
          <tpl hier="29" item="7"/>
        </tpls>
      </m>
      <m>
        <tpls c="4">
          <tpl hier="8" item="0"/>
          <tpl fld="2" item="0"/>
          <tpl fld="0" item="20"/>
          <tpl hier="29" item="7"/>
        </tpls>
      </m>
      <m>
        <tpls c="4">
          <tpl hier="8" item="0"/>
          <tpl fld="2" item="0"/>
          <tpl fld="0" item="47"/>
          <tpl hier="29" item="7"/>
        </tpls>
      </m>
      <n v="8284.1" in="0">
        <tpls c="4">
          <tpl hier="8" item="0"/>
          <tpl fld="2" item="0"/>
          <tpl fld="0" item="15"/>
          <tpl hier="29" item="7"/>
        </tpls>
      </n>
      <m>
        <tpls c="4">
          <tpl hier="8" item="0"/>
          <tpl fld="2" item="0"/>
          <tpl fld="0" item="34"/>
          <tpl hier="29" item="7"/>
        </tpls>
      </m>
      <m>
        <tpls c="4">
          <tpl hier="8" item="0"/>
          <tpl fld="2" item="0"/>
          <tpl fld="0" item="2"/>
          <tpl hier="29" item="7"/>
        </tpls>
      </m>
      <n v="28274.522000000001" in="0">
        <tpls c="4">
          <tpl hier="8" item="0"/>
          <tpl fld="2" item="0"/>
          <tpl fld="0" item="29"/>
          <tpl hier="29" item="7"/>
        </tpls>
      </n>
      <m>
        <tpls c="4">
          <tpl hier="8" item="0"/>
          <tpl fld="2" item="0"/>
          <tpl fld="0" item="32"/>
          <tpl hier="29" item="7"/>
        </tpls>
      </m>
      <m>
        <tpls c="4">
          <tpl hier="8" item="0"/>
          <tpl fld="2" item="0"/>
          <tpl fld="0" item="27"/>
          <tpl hier="29" item="7"/>
        </tpls>
      </m>
      <m>
        <tpls c="4">
          <tpl hier="8" item="0"/>
          <tpl fld="2" item="0"/>
          <tpl fld="0" item="41"/>
          <tpl hier="29" item="7"/>
        </tpls>
      </m>
      <m>
        <tpls c="4">
          <tpl hier="8" item="0"/>
          <tpl fld="2" item="0"/>
          <tpl fld="0" item="0"/>
          <tpl hier="29" item="7"/>
        </tpls>
      </m>
      <n v="17256.61" in="0">
        <tpls c="4">
          <tpl hier="8" item="0"/>
          <tpl fld="2" item="0"/>
          <tpl fld="0" item="8"/>
          <tpl hier="29" item="7"/>
        </tpls>
      </n>
      <m>
        <tpls c="4">
          <tpl hier="8" item="0"/>
          <tpl fld="2" item="0"/>
          <tpl fld="0" item="9"/>
          <tpl hier="29" item="7"/>
        </tpls>
      </m>
      <m>
        <tpls c="4">
          <tpl hier="8" item="0"/>
          <tpl fld="2" item="0"/>
          <tpl fld="0" item="13"/>
          <tpl hier="29" item="7"/>
        </tpls>
      </m>
      <n v="22321.1" in="0">
        <tpls c="4">
          <tpl hier="8" item="0"/>
          <tpl fld="2" item="0"/>
          <tpl fld="0" item="36"/>
          <tpl hier="29" item="7"/>
        </tpls>
      </n>
      <m>
        <tpls c="4">
          <tpl hier="8" item="0"/>
          <tpl fld="2" item="0"/>
          <tpl fld="0" item="46"/>
          <tpl hier="29" item="7"/>
        </tpls>
      </m>
      <m>
        <tpls c="4">
          <tpl hier="8" item="0"/>
          <tpl fld="2" item="0"/>
          <tpl fld="0" item="24"/>
          <tpl hier="29" item="7"/>
        </tpls>
      </m>
      <n v="7611.35" in="0">
        <tpls c="4">
          <tpl hier="8" item="0"/>
          <tpl fld="2" item="0"/>
          <tpl fld="0" item="7"/>
          <tpl hier="29" item="7"/>
        </tpls>
      </n>
      <m>
        <tpls c="4">
          <tpl hier="8" item="0"/>
          <tpl fld="2" item="0"/>
          <tpl fld="0" item="25"/>
          <tpl hier="29" item="7"/>
        </tpls>
      </m>
      <m>
        <tpls c="4">
          <tpl hier="8" item="0"/>
          <tpl fld="2" item="0"/>
          <tpl fld="0" item="28"/>
          <tpl hier="29" item="7"/>
        </tpls>
      </m>
      <m>
        <tpls c="4">
          <tpl hier="8" item="0"/>
          <tpl fld="2" item="0"/>
          <tpl fld="0" item="14"/>
          <tpl hier="29" item="7"/>
        </tpls>
      </m>
      <m>
        <tpls c="4">
          <tpl hier="8" item="0"/>
          <tpl fld="2" item="0"/>
          <tpl fld="0" item="43"/>
          <tpl hier="29" item="8"/>
        </tpls>
      </m>
      <m>
        <tpls c="4">
          <tpl hier="8" item="0"/>
          <tpl fld="2" item="0"/>
          <tpl fld="0" item="5"/>
          <tpl hier="29" item="8"/>
        </tpls>
      </m>
      <m>
        <tpls c="4">
          <tpl hier="8" item="0"/>
          <tpl fld="2" item="0"/>
          <tpl fld="0" item="17"/>
          <tpl hier="29" item="8"/>
        </tpls>
      </m>
      <m>
        <tpls c="4">
          <tpl hier="8" item="0"/>
          <tpl fld="2" item="0"/>
          <tpl fld="0" item="38"/>
          <tpl hier="29" item="8"/>
        </tpls>
      </m>
      <m>
        <tpls c="4">
          <tpl hier="8" item="0"/>
          <tpl fld="2" item="0"/>
          <tpl fld="0" item="6"/>
          <tpl hier="29" item="8"/>
        </tpls>
      </m>
      <m>
        <tpls c="4">
          <tpl hier="8" item="0"/>
          <tpl fld="2" item="0"/>
          <tpl fld="0" item="42"/>
          <tpl hier="29" item="8"/>
        </tpls>
      </m>
      <m>
        <tpls c="4">
          <tpl hier="8" item="0"/>
          <tpl fld="2" item="0"/>
          <tpl fld="0" item="35"/>
          <tpl hier="29" item="8"/>
        </tpls>
      </m>
      <m>
        <tpls c="4">
          <tpl hier="8" item="0"/>
          <tpl fld="2" item="0"/>
          <tpl fld="0" item="21"/>
          <tpl hier="29" item="8"/>
        </tpls>
      </m>
      <m>
        <tpls c="4">
          <tpl hier="8" item="0"/>
          <tpl fld="2" item="0"/>
          <tpl fld="0" item="23"/>
          <tpl hier="29" item="8"/>
        </tpls>
      </m>
      <n v="1603.136" in="0">
        <tpls c="4">
          <tpl hier="8" item="0"/>
          <tpl fld="2" item="0"/>
          <tpl fld="0" item="11"/>
          <tpl hier="29" item="8"/>
        </tpls>
      </n>
      <m>
        <tpls c="4">
          <tpl hier="8" item="0"/>
          <tpl fld="2" item="0"/>
          <tpl fld="0" item="31"/>
          <tpl hier="29" item="8"/>
        </tpls>
      </m>
      <m>
        <tpls c="4">
          <tpl hier="8" item="0"/>
          <tpl fld="2" item="0"/>
          <tpl fld="0" item="19"/>
          <tpl hier="29" item="8"/>
        </tpls>
      </m>
      <m>
        <tpls c="4">
          <tpl hier="8" item="0"/>
          <tpl fld="2" item="0"/>
          <tpl fld="0" item="16"/>
          <tpl hier="29" item="8"/>
        </tpls>
      </m>
      <m>
        <tpls c="4">
          <tpl hier="8" item="0"/>
          <tpl fld="2" item="0"/>
          <tpl fld="0" item="3"/>
          <tpl hier="29" item="8"/>
        </tpls>
      </m>
      <m>
        <tpls c="4">
          <tpl hier="8" item="0"/>
          <tpl fld="2" item="0"/>
          <tpl fld="0" item="10"/>
          <tpl hier="29" item="8"/>
        </tpls>
      </m>
      <m>
        <tpls c="4">
          <tpl hier="8" item="0"/>
          <tpl fld="2" item="0"/>
          <tpl fld="0" item="40"/>
          <tpl hier="29" item="8"/>
        </tpls>
      </m>
      <m>
        <tpls c="4">
          <tpl hier="8" item="0"/>
          <tpl fld="2" item="0"/>
          <tpl fld="0" item="39"/>
          <tpl hier="29" item="8"/>
        </tpls>
      </m>
      <m>
        <tpls c="4">
          <tpl hier="8" item="0"/>
          <tpl fld="2" item="0"/>
          <tpl fld="0" item="12"/>
          <tpl hier="29" item="8"/>
        </tpls>
      </m>
      <m>
        <tpls c="4">
          <tpl hier="8" item="0"/>
          <tpl fld="2" item="0"/>
          <tpl fld="0" item="4"/>
          <tpl hier="29" item="8"/>
        </tpls>
      </m>
      <m>
        <tpls c="4">
          <tpl hier="8" item="0"/>
          <tpl fld="2" item="0"/>
          <tpl fld="0" item="18"/>
          <tpl hier="29" item="8"/>
        </tpls>
      </m>
      <m>
        <tpls c="4">
          <tpl hier="8" item="0"/>
          <tpl fld="2" item="0"/>
          <tpl fld="0" item="45"/>
          <tpl hier="29" item="8"/>
        </tpls>
      </m>
      <m>
        <tpls c="4">
          <tpl hier="8" item="0"/>
          <tpl fld="2" item="0"/>
          <tpl fld="0" item="1"/>
          <tpl hier="29" item="8"/>
        </tpls>
      </m>
      <m>
        <tpls c="4">
          <tpl hier="8" item="0"/>
          <tpl fld="2" item="0"/>
          <tpl fld="0" item="37"/>
          <tpl hier="29" item="8"/>
        </tpls>
      </m>
      <n v="13525.290999999999" in="0">
        <tpls c="4">
          <tpl hier="8" item="0"/>
          <tpl fld="2" item="0"/>
          <tpl fld="0" item="26"/>
          <tpl hier="29" item="8"/>
        </tpls>
      </n>
      <m>
        <tpls c="4">
          <tpl hier="8" item="0"/>
          <tpl fld="2" item="0"/>
          <tpl fld="0" item="33"/>
          <tpl hier="29" item="8"/>
        </tpls>
      </m>
      <m>
        <tpls c="4">
          <tpl hier="8" item="0"/>
          <tpl fld="2" item="0"/>
          <tpl fld="0" item="44"/>
          <tpl hier="29" item="8"/>
        </tpls>
      </m>
      <n v="48020.152000000002" in="0">
        <tpls c="4">
          <tpl hier="8" item="0"/>
          <tpl fld="2" item="0"/>
          <tpl fld="0" item="22"/>
          <tpl hier="29" item="8"/>
        </tpls>
      </n>
      <n v="6338.13" in="0">
        <tpls c="4">
          <tpl hier="8" item="0"/>
          <tpl fld="2" item="0"/>
          <tpl fld="0" item="30"/>
          <tpl hier="29" item="8"/>
        </tpls>
      </n>
      <m>
        <tpls c="4">
          <tpl hier="8" item="0"/>
          <tpl fld="2" item="0"/>
          <tpl fld="0" item="20"/>
          <tpl hier="29" item="8"/>
        </tpls>
      </m>
      <n v="4822.3500000000004" in="0">
        <tpls c="4">
          <tpl hier="8" item="0"/>
          <tpl fld="2" item="0"/>
          <tpl fld="0" item="47"/>
          <tpl hier="29" item="8"/>
        </tpls>
      </n>
      <m>
        <tpls c="4">
          <tpl hier="8" item="0"/>
          <tpl fld="2" item="0"/>
          <tpl fld="0" item="15"/>
          <tpl hier="29" item="8"/>
        </tpls>
      </m>
      <n v="63.98" in="0">
        <tpls c="4">
          <tpl hier="8" item="0"/>
          <tpl fld="2" item="0"/>
          <tpl fld="0" item="34"/>
          <tpl hier="29" item="8"/>
        </tpls>
      </n>
      <m>
        <tpls c="4">
          <tpl hier="8" item="0"/>
          <tpl fld="2" item="0"/>
          <tpl fld="0" item="2"/>
          <tpl hier="29" item="8"/>
        </tpls>
      </m>
      <m>
        <tpls c="4">
          <tpl hier="8" item="0"/>
          <tpl fld="2" item="0"/>
          <tpl fld="0" item="29"/>
          <tpl hier="29" item="8"/>
        </tpls>
      </m>
      <n v="13243.037" in="0">
        <tpls c="4">
          <tpl hier="8" item="0"/>
          <tpl fld="2" item="0"/>
          <tpl fld="0" item="32"/>
          <tpl hier="29" item="8"/>
        </tpls>
      </n>
      <m>
        <tpls c="4">
          <tpl hier="8" item="0"/>
          <tpl fld="2" item="0"/>
          <tpl fld="0" item="27"/>
          <tpl hier="29" item="8"/>
        </tpls>
      </m>
      <m>
        <tpls c="4">
          <tpl hier="8" item="0"/>
          <tpl fld="2" item="0"/>
          <tpl fld="0" item="41"/>
          <tpl hier="29" item="8"/>
        </tpls>
      </m>
      <n v="156064.60149999999" in="0">
        <tpls c="4">
          <tpl hier="8" item="0"/>
          <tpl fld="2" item="0"/>
          <tpl fld="0" item="0"/>
          <tpl hier="29" item="8"/>
        </tpls>
      </n>
      <m>
        <tpls c="4">
          <tpl hier="8" item="0"/>
          <tpl fld="2" item="0"/>
          <tpl fld="0" item="8"/>
          <tpl hier="29" item="8"/>
        </tpls>
      </m>
      <n v="4635.1719999999996" in="0">
        <tpls c="4">
          <tpl hier="8" item="0"/>
          <tpl fld="2" item="0"/>
          <tpl fld="0" item="9"/>
          <tpl hier="29" item="8"/>
        </tpls>
      </n>
      <n v="1701.412" in="0">
        <tpls c="4">
          <tpl hier="8" item="0"/>
          <tpl fld="2" item="0"/>
          <tpl fld="0" item="13"/>
          <tpl hier="29" item="8"/>
        </tpls>
      </n>
      <m>
        <tpls c="4">
          <tpl hier="8" item="0"/>
          <tpl fld="2" item="0"/>
          <tpl fld="0" item="36"/>
          <tpl hier="29" item="8"/>
        </tpls>
      </m>
      <m>
        <tpls c="4">
          <tpl hier="8" item="0"/>
          <tpl fld="2" item="0"/>
          <tpl fld="0" item="46"/>
          <tpl hier="29" item="8"/>
        </tpls>
      </m>
      <n v="2595.482" in="0">
        <tpls c="4">
          <tpl hier="8" item="0"/>
          <tpl fld="2" item="0"/>
          <tpl fld="0" item="24"/>
          <tpl hier="29" item="8"/>
        </tpls>
      </n>
      <m>
        <tpls c="4">
          <tpl hier="8" item="0"/>
          <tpl fld="2" item="0"/>
          <tpl fld="0" item="7"/>
          <tpl hier="29" item="8"/>
        </tpls>
      </m>
      <m>
        <tpls c="4">
          <tpl hier="8" item="0"/>
          <tpl fld="2" item="0"/>
          <tpl fld="0" item="25"/>
          <tpl hier="29" item="8"/>
        </tpls>
      </m>
      <m>
        <tpls c="4">
          <tpl hier="8" item="0"/>
          <tpl fld="2" item="0"/>
          <tpl fld="0" item="28"/>
          <tpl hier="29" item="8"/>
        </tpls>
      </m>
      <m>
        <tpls c="4">
          <tpl hier="8" item="0"/>
          <tpl fld="2" item="0"/>
          <tpl fld="0" item="14"/>
          <tpl hier="29" item="8"/>
        </tpls>
      </m>
      <m>
        <tpls c="4">
          <tpl hier="8" item="2"/>
          <tpl fld="2" item="0"/>
          <tpl fld="0" item="43"/>
          <tpl hier="29" item="8"/>
        </tpls>
      </m>
      <m>
        <tpls c="4">
          <tpl hier="8" item="2"/>
          <tpl fld="2" item="0"/>
          <tpl fld="0" item="5"/>
          <tpl hier="29" item="8"/>
        </tpls>
      </m>
      <m>
        <tpls c="4">
          <tpl hier="8" item="2"/>
          <tpl fld="2" item="0"/>
          <tpl fld="0" item="17"/>
          <tpl hier="29" item="8"/>
        </tpls>
      </m>
      <m>
        <tpls c="4">
          <tpl hier="8" item="2"/>
          <tpl fld="2" item="0"/>
          <tpl fld="0" item="38"/>
          <tpl hier="29" item="8"/>
        </tpls>
      </m>
      <m>
        <tpls c="4">
          <tpl hier="8" item="2"/>
          <tpl fld="2" item="0"/>
          <tpl fld="0" item="6"/>
          <tpl hier="29" item="8"/>
        </tpls>
      </m>
      <m>
        <tpls c="4">
          <tpl hier="8" item="2"/>
          <tpl fld="2" item="0"/>
          <tpl fld="0" item="42"/>
          <tpl hier="29" item="8"/>
        </tpls>
      </m>
      <m>
        <tpls c="4">
          <tpl hier="8" item="2"/>
          <tpl fld="2" item="0"/>
          <tpl fld="0" item="35"/>
          <tpl hier="29" item="8"/>
        </tpls>
      </m>
      <m>
        <tpls c="4">
          <tpl hier="8" item="2"/>
          <tpl fld="2" item="0"/>
          <tpl fld="0" item="21"/>
          <tpl hier="29" item="8"/>
        </tpls>
      </m>
      <m>
        <tpls c="4">
          <tpl hier="8" item="2"/>
          <tpl fld="2" item="0"/>
          <tpl fld="0" item="23"/>
          <tpl hier="29" item="8"/>
        </tpls>
      </m>
      <m in="0">
        <tpls c="4">
          <tpl hier="8" item="2"/>
          <tpl fld="2" item="0"/>
          <tpl fld="0" item="11"/>
          <tpl hier="29" item="8"/>
        </tpls>
      </m>
      <m>
        <tpls c="4">
          <tpl hier="8" item="2"/>
          <tpl fld="2" item="0"/>
          <tpl fld="0" item="31"/>
          <tpl hier="29" item="8"/>
        </tpls>
      </m>
      <m>
        <tpls c="4">
          <tpl hier="8" item="2"/>
          <tpl fld="2" item="0"/>
          <tpl fld="0" item="19"/>
          <tpl hier="29" item="8"/>
        </tpls>
      </m>
      <m>
        <tpls c="4">
          <tpl hier="8" item="2"/>
          <tpl fld="2" item="0"/>
          <tpl fld="0" item="16"/>
          <tpl hier="29" item="8"/>
        </tpls>
      </m>
      <m>
        <tpls c="4">
          <tpl hier="8" item="2"/>
          <tpl fld="2" item="0"/>
          <tpl fld="0" item="3"/>
          <tpl hier="29" item="8"/>
        </tpls>
      </m>
      <m>
        <tpls c="4">
          <tpl hier="8" item="2"/>
          <tpl fld="2" item="0"/>
          <tpl fld="0" item="10"/>
          <tpl hier="29" item="8"/>
        </tpls>
      </m>
      <m>
        <tpls c="4">
          <tpl hier="8" item="2"/>
          <tpl fld="2" item="0"/>
          <tpl fld="0" item="40"/>
          <tpl hier="29" item="8"/>
        </tpls>
      </m>
      <m>
        <tpls c="4">
          <tpl hier="8" item="2"/>
          <tpl fld="2" item="0"/>
          <tpl fld="0" item="39"/>
          <tpl hier="29" item="8"/>
        </tpls>
      </m>
      <m>
        <tpls c="4">
          <tpl hier="8" item="2"/>
          <tpl fld="2" item="0"/>
          <tpl fld="0" item="12"/>
          <tpl hier="29" item="8"/>
        </tpls>
      </m>
      <m>
        <tpls c="4">
          <tpl hier="8" item="2"/>
          <tpl fld="2" item="0"/>
          <tpl fld="0" item="4"/>
          <tpl hier="29" item="8"/>
        </tpls>
      </m>
      <m>
        <tpls c="4">
          <tpl hier="8" item="2"/>
          <tpl fld="2" item="0"/>
          <tpl fld="0" item="18"/>
          <tpl hier="29" item="8"/>
        </tpls>
      </m>
      <m>
        <tpls c="4">
          <tpl hier="8" item="2"/>
          <tpl fld="2" item="0"/>
          <tpl fld="0" item="45"/>
          <tpl hier="29" item="8"/>
        </tpls>
      </m>
      <m>
        <tpls c="4">
          <tpl hier="8" item="2"/>
          <tpl fld="2" item="0"/>
          <tpl fld="0" item="1"/>
          <tpl hier="29" item="8"/>
        </tpls>
      </m>
      <m>
        <tpls c="4">
          <tpl hier="8" item="2"/>
          <tpl fld="2" item="0"/>
          <tpl fld="0" item="37"/>
          <tpl hier="29" item="8"/>
        </tpls>
      </m>
      <n v="1383.673" in="0">
        <tpls c="4">
          <tpl hier="8" item="2"/>
          <tpl fld="2" item="0"/>
          <tpl fld="0" item="26"/>
          <tpl hier="29" item="8"/>
        </tpls>
      </n>
      <m>
        <tpls c="4">
          <tpl hier="8" item="2"/>
          <tpl fld="2" item="0"/>
          <tpl fld="0" item="33"/>
          <tpl hier="29" item="8"/>
        </tpls>
      </m>
      <m>
        <tpls c="4">
          <tpl hier="8" item="2"/>
          <tpl fld="2" item="0"/>
          <tpl fld="0" item="44"/>
          <tpl hier="29" item="8"/>
        </tpls>
      </m>
      <n v="10979.31" in="0">
        <tpls c="4">
          <tpl hier="8" item="2"/>
          <tpl fld="2" item="0"/>
          <tpl fld="0" item="22"/>
          <tpl hier="29" item="8"/>
        </tpls>
      </n>
      <n v="1762.53" in="0">
        <tpls c="4">
          <tpl hier="8" item="2"/>
          <tpl fld="2" item="0"/>
          <tpl fld="0" item="30"/>
          <tpl hier="29" item="8"/>
        </tpls>
      </n>
      <m>
        <tpls c="4">
          <tpl hier="8" item="2"/>
          <tpl fld="2" item="0"/>
          <tpl fld="0" item="20"/>
          <tpl hier="29" item="8"/>
        </tpls>
      </m>
      <n v="73.319999999999993" in="0">
        <tpls c="4">
          <tpl hier="8" item="2"/>
          <tpl fld="2" item="0"/>
          <tpl fld="0" item="47"/>
          <tpl hier="29" item="8"/>
        </tpls>
      </n>
      <m>
        <tpls c="4">
          <tpl hier="8" item="2"/>
          <tpl fld="2" item="0"/>
          <tpl fld="0" item="15"/>
          <tpl hier="29" item="8"/>
        </tpls>
      </m>
      <m in="0">
        <tpls c="4">
          <tpl hier="8" item="2"/>
          <tpl fld="2" item="0"/>
          <tpl fld="0" item="34"/>
          <tpl hier="29" item="8"/>
        </tpls>
      </m>
      <m>
        <tpls c="4">
          <tpl hier="8" item="2"/>
          <tpl fld="2" item="0"/>
          <tpl fld="0" item="2"/>
          <tpl hier="29" item="8"/>
        </tpls>
      </m>
      <m>
        <tpls c="4">
          <tpl hier="8" item="2"/>
          <tpl fld="2" item="0"/>
          <tpl fld="0" item="29"/>
          <tpl hier="29" item="8"/>
        </tpls>
      </m>
      <n v="1721.9939999999999" in="0">
        <tpls c="4">
          <tpl hier="8" item="2"/>
          <tpl fld="2" item="0"/>
          <tpl fld="0" item="32"/>
          <tpl hier="29" item="8"/>
        </tpls>
      </n>
      <m>
        <tpls c="4">
          <tpl hier="8" item="2"/>
          <tpl fld="2" item="0"/>
          <tpl fld="0" item="27"/>
          <tpl hier="29" item="8"/>
        </tpls>
      </m>
      <m>
        <tpls c="4">
          <tpl hier="8" item="2"/>
          <tpl fld="2" item="0"/>
          <tpl fld="0" item="41"/>
          <tpl hier="29" item="8"/>
        </tpls>
      </m>
      <n v="32962.947" in="0">
        <tpls c="4">
          <tpl hier="8" item="2"/>
          <tpl fld="2" item="0"/>
          <tpl fld="0" item="0"/>
          <tpl hier="29" item="8"/>
        </tpls>
      </n>
      <m>
        <tpls c="4">
          <tpl hier="8" item="2"/>
          <tpl fld="2" item="0"/>
          <tpl fld="0" item="8"/>
          <tpl hier="29" item="8"/>
        </tpls>
      </m>
      <n v="860.322" in="0">
        <tpls c="4">
          <tpl hier="8" item="2"/>
          <tpl fld="2" item="0"/>
          <tpl fld="0" item="9"/>
          <tpl hier="29" item="8"/>
        </tpls>
      </n>
      <m in="0">
        <tpls c="4">
          <tpl hier="8" item="2"/>
          <tpl fld="2" item="0"/>
          <tpl fld="0" item="13"/>
          <tpl hier="29" item="8"/>
        </tpls>
      </m>
      <m>
        <tpls c="4">
          <tpl hier="8" item="2"/>
          <tpl fld="2" item="0"/>
          <tpl fld="0" item="36"/>
          <tpl hier="29" item="8"/>
        </tpls>
      </m>
      <m>
        <tpls c="4">
          <tpl hier="8" item="2"/>
          <tpl fld="2" item="0"/>
          <tpl fld="0" item="46"/>
          <tpl hier="29" item="8"/>
        </tpls>
      </m>
      <n v="338.35199999999998" in="0">
        <tpls c="4">
          <tpl hier="8" item="2"/>
          <tpl fld="2" item="0"/>
          <tpl fld="0" item="24"/>
          <tpl hier="29" item="8"/>
        </tpls>
      </n>
      <m>
        <tpls c="4">
          <tpl hier="8" item="2"/>
          <tpl fld="2" item="0"/>
          <tpl fld="0" item="7"/>
          <tpl hier="29" item="8"/>
        </tpls>
      </m>
      <m>
        <tpls c="4">
          <tpl hier="8" item="2"/>
          <tpl fld="2" item="0"/>
          <tpl fld="0" item="25"/>
          <tpl hier="29" item="8"/>
        </tpls>
      </m>
      <m>
        <tpls c="4">
          <tpl hier="8" item="2"/>
          <tpl fld="2" item="0"/>
          <tpl fld="0" item="28"/>
          <tpl hier="29" item="8"/>
        </tpls>
      </m>
      <m>
        <tpls c="4">
          <tpl hier="8" item="2"/>
          <tpl fld="2" item="0"/>
          <tpl fld="0" item="14"/>
          <tpl hier="29" item="8"/>
        </tpls>
      </m>
      <m>
        <tpls c="4">
          <tpl hier="8" item="6"/>
          <tpl fld="2" item="0"/>
          <tpl fld="0" item="43"/>
          <tpl hier="29" item="8"/>
        </tpls>
      </m>
      <m>
        <tpls c="4">
          <tpl hier="8" item="6"/>
          <tpl fld="2" item="0"/>
          <tpl fld="0" item="5"/>
          <tpl hier="29" item="8"/>
        </tpls>
      </m>
      <m>
        <tpls c="4">
          <tpl hier="8" item="6"/>
          <tpl fld="2" item="0"/>
          <tpl fld="0" item="17"/>
          <tpl hier="29" item="8"/>
        </tpls>
      </m>
      <m>
        <tpls c="4">
          <tpl hier="8" item="6"/>
          <tpl fld="2" item="0"/>
          <tpl fld="0" item="38"/>
          <tpl hier="29" item="8"/>
        </tpls>
      </m>
      <m>
        <tpls c="4">
          <tpl hier="8" item="6"/>
          <tpl fld="2" item="0"/>
          <tpl fld="0" item="6"/>
          <tpl hier="29" item="8"/>
        </tpls>
      </m>
      <m>
        <tpls c="4">
          <tpl hier="8" item="6"/>
          <tpl fld="2" item="0"/>
          <tpl fld="0" item="42"/>
          <tpl hier="29" item="8"/>
        </tpls>
      </m>
      <m>
        <tpls c="4">
          <tpl hier="8" item="6"/>
          <tpl fld="2" item="0"/>
          <tpl fld="0" item="35"/>
          <tpl hier="29" item="8"/>
        </tpls>
      </m>
      <m>
        <tpls c="4">
          <tpl hier="8" item="6"/>
          <tpl fld="2" item="0"/>
          <tpl fld="0" item="21"/>
          <tpl hier="29" item="8"/>
        </tpls>
      </m>
      <m>
        <tpls c="4">
          <tpl hier="8" item="6"/>
          <tpl fld="2" item="0"/>
          <tpl fld="0" item="23"/>
          <tpl hier="29" item="8"/>
        </tpls>
      </m>
      <m in="0">
        <tpls c="4">
          <tpl hier="8" item="6"/>
          <tpl fld="2" item="0"/>
          <tpl fld="0" item="11"/>
          <tpl hier="29" item="8"/>
        </tpls>
      </m>
      <m>
        <tpls c="4">
          <tpl hier="8" item="6"/>
          <tpl fld="2" item="0"/>
          <tpl fld="0" item="31"/>
          <tpl hier="29" item="8"/>
        </tpls>
      </m>
      <m>
        <tpls c="4">
          <tpl hier="8" item="6"/>
          <tpl fld="2" item="0"/>
          <tpl fld="0" item="19"/>
          <tpl hier="29" item="8"/>
        </tpls>
      </m>
      <m>
        <tpls c="4">
          <tpl hier="8" item="6"/>
          <tpl fld="2" item="0"/>
          <tpl fld="0" item="16"/>
          <tpl hier="29" item="8"/>
        </tpls>
      </m>
      <m>
        <tpls c="4">
          <tpl hier="8" item="6"/>
          <tpl fld="2" item="0"/>
          <tpl fld="0" item="3"/>
          <tpl hier="29" item="8"/>
        </tpls>
      </m>
      <m>
        <tpls c="4">
          <tpl hier="8" item="6"/>
          <tpl fld="2" item="0"/>
          <tpl fld="0" item="10"/>
          <tpl hier="29" item="8"/>
        </tpls>
      </m>
      <m>
        <tpls c="4">
          <tpl hier="8" item="6"/>
          <tpl fld="2" item="0"/>
          <tpl fld="0" item="40"/>
          <tpl hier="29" item="8"/>
        </tpls>
      </m>
      <m>
        <tpls c="4">
          <tpl hier="8" item="6"/>
          <tpl fld="2" item="0"/>
          <tpl fld="0" item="39"/>
          <tpl hier="29" item="8"/>
        </tpls>
      </m>
      <m>
        <tpls c="4">
          <tpl hier="8" item="6"/>
          <tpl fld="2" item="0"/>
          <tpl fld="0" item="12"/>
          <tpl hier="29" item="8"/>
        </tpls>
      </m>
      <m>
        <tpls c="4">
          <tpl hier="8" item="6"/>
          <tpl fld="2" item="0"/>
          <tpl fld="0" item="4"/>
          <tpl hier="29" item="8"/>
        </tpls>
      </m>
      <m>
        <tpls c="4">
          <tpl hier="8" item="6"/>
          <tpl fld="2" item="0"/>
          <tpl fld="0" item="18"/>
          <tpl hier="29" item="8"/>
        </tpls>
      </m>
      <m>
        <tpls c="4">
          <tpl hier="8" item="6"/>
          <tpl fld="2" item="0"/>
          <tpl fld="0" item="45"/>
          <tpl hier="29" item="8"/>
        </tpls>
      </m>
      <m>
        <tpls c="4">
          <tpl hier="8" item="6"/>
          <tpl fld="2" item="0"/>
          <tpl fld="0" item="1"/>
          <tpl hier="29" item="8"/>
        </tpls>
      </m>
      <m>
        <tpls c="4">
          <tpl hier="8" item="6"/>
          <tpl fld="2" item="0"/>
          <tpl fld="0" item="37"/>
          <tpl hier="29" item="8"/>
        </tpls>
      </m>
      <n v="3873.433" in="0">
        <tpls c="4">
          <tpl hier="8" item="6"/>
          <tpl fld="2" item="0"/>
          <tpl fld="0" item="26"/>
          <tpl hier="29" item="8"/>
        </tpls>
      </n>
      <m>
        <tpls c="4">
          <tpl hier="8" item="6"/>
          <tpl fld="2" item="0"/>
          <tpl fld="0" item="33"/>
          <tpl hier="29" item="8"/>
        </tpls>
      </m>
      <m>
        <tpls c="4">
          <tpl hier="8" item="6"/>
          <tpl fld="2" item="0"/>
          <tpl fld="0" item="44"/>
          <tpl hier="29" item="8"/>
        </tpls>
      </m>
      <n v="12099.178" in="0">
        <tpls c="4">
          <tpl hier="8" item="6"/>
          <tpl fld="2" item="0"/>
          <tpl fld="0" item="22"/>
          <tpl hier="29" item="8"/>
        </tpls>
      </n>
      <n v="645.99400000000003" in="0">
        <tpls c="4">
          <tpl hier="8" item="6"/>
          <tpl fld="2" item="0"/>
          <tpl fld="0" item="30"/>
          <tpl hier="29" item="8"/>
        </tpls>
      </n>
      <m>
        <tpls c="4">
          <tpl hier="8" item="6"/>
          <tpl fld="2" item="0"/>
          <tpl fld="0" item="20"/>
          <tpl hier="29" item="8"/>
        </tpls>
      </m>
      <n v="3430.93" in="0">
        <tpls c="4">
          <tpl hier="8" item="6"/>
          <tpl fld="2" item="0"/>
          <tpl fld="0" item="47"/>
          <tpl hier="29" item="8"/>
        </tpls>
      </n>
      <m>
        <tpls c="4">
          <tpl hier="8" item="6"/>
          <tpl fld="2" item="0"/>
          <tpl fld="0" item="15"/>
          <tpl hier="29" item="8"/>
        </tpls>
      </m>
      <n v="63.98" in="0">
        <tpls c="4">
          <tpl hier="8" item="6"/>
          <tpl fld="2" item="0"/>
          <tpl fld="0" item="34"/>
          <tpl hier="29" item="8"/>
        </tpls>
      </n>
      <m>
        <tpls c="4">
          <tpl hier="8" item="6"/>
          <tpl fld="2" item="0"/>
          <tpl fld="0" item="2"/>
          <tpl hier="29" item="8"/>
        </tpls>
      </m>
      <m>
        <tpls c="4">
          <tpl hier="8" item="6"/>
          <tpl fld="2" item="0"/>
          <tpl fld="0" item="29"/>
          <tpl hier="29" item="8"/>
        </tpls>
      </m>
      <n v="2002.508" in="0">
        <tpls c="4">
          <tpl hier="8" item="6"/>
          <tpl fld="2" item="0"/>
          <tpl fld="0" item="32"/>
          <tpl hier="29" item="8"/>
        </tpls>
      </n>
      <m>
        <tpls c="4">
          <tpl hier="8" item="6"/>
          <tpl fld="2" item="0"/>
          <tpl fld="0" item="27"/>
          <tpl hier="29" item="8"/>
        </tpls>
      </m>
      <m>
        <tpls c="4">
          <tpl hier="8" item="6"/>
          <tpl fld="2" item="0"/>
          <tpl fld="0" item="41"/>
          <tpl hier="29" item="8"/>
        </tpls>
      </m>
      <n v="32500.0285" in="0">
        <tpls c="4">
          <tpl hier="8" item="6"/>
          <tpl fld="2" item="0"/>
          <tpl fld="0" item="0"/>
          <tpl hier="29" item="8"/>
        </tpls>
      </n>
      <m>
        <tpls c="4">
          <tpl hier="8" item="6"/>
          <tpl fld="2" item="0"/>
          <tpl fld="0" item="8"/>
          <tpl hier="29" item="8"/>
        </tpls>
      </m>
      <n v="222.92" in="0">
        <tpls c="4">
          <tpl hier="8" item="6"/>
          <tpl fld="2" item="0"/>
          <tpl fld="0" item="9"/>
          <tpl hier="29" item="8"/>
        </tpls>
      </n>
      <n v="1114.192" in="0">
        <tpls c="4">
          <tpl hier="8" item="6"/>
          <tpl fld="2" item="0"/>
          <tpl fld="0" item="13"/>
          <tpl hier="29" item="8"/>
        </tpls>
      </n>
      <m>
        <tpls c="4">
          <tpl hier="8" item="6"/>
          <tpl fld="2" item="0"/>
          <tpl fld="0" item="36"/>
          <tpl hier="29" item="8"/>
        </tpls>
      </m>
      <m>
        <tpls c="4">
          <tpl hier="8" item="6"/>
          <tpl fld="2" item="0"/>
          <tpl fld="0" item="46"/>
          <tpl hier="29" item="8"/>
        </tpls>
      </m>
      <n v="1051.78" in="0">
        <tpls c="4">
          <tpl hier="8" item="6"/>
          <tpl fld="2" item="0"/>
          <tpl fld="0" item="24"/>
          <tpl hier="29" item="8"/>
        </tpls>
      </n>
      <m>
        <tpls c="4">
          <tpl hier="8" item="6"/>
          <tpl fld="2" item="0"/>
          <tpl fld="0" item="7"/>
          <tpl hier="29" item="8"/>
        </tpls>
      </m>
      <m>
        <tpls c="4">
          <tpl hier="8" item="6"/>
          <tpl fld="2" item="0"/>
          <tpl fld="0" item="25"/>
          <tpl hier="29" item="8"/>
        </tpls>
      </m>
      <m>
        <tpls c="4">
          <tpl hier="8" item="6"/>
          <tpl fld="2" item="0"/>
          <tpl fld="0" item="28"/>
          <tpl hier="29" item="8"/>
        </tpls>
      </m>
      <m>
        <tpls c="4">
          <tpl hier="8" item="6"/>
          <tpl fld="2" item="0"/>
          <tpl fld="0" item="14"/>
          <tpl hier="29" item="8"/>
        </tpls>
      </m>
      <m>
        <tpls c="4">
          <tpl hier="8" item="5"/>
          <tpl fld="2" item="0"/>
          <tpl fld="0" item="43"/>
          <tpl hier="29" item="8"/>
        </tpls>
      </m>
      <m>
        <tpls c="4">
          <tpl hier="8" item="5"/>
          <tpl fld="2" item="0"/>
          <tpl fld="0" item="5"/>
          <tpl hier="29" item="8"/>
        </tpls>
      </m>
      <m>
        <tpls c="4">
          <tpl hier="8" item="5"/>
          <tpl fld="2" item="0"/>
          <tpl fld="0" item="17"/>
          <tpl hier="29" item="8"/>
        </tpls>
      </m>
      <m>
        <tpls c="4">
          <tpl hier="8" item="5"/>
          <tpl fld="2" item="0"/>
          <tpl fld="0" item="38"/>
          <tpl hier="29" item="8"/>
        </tpls>
      </m>
      <m>
        <tpls c="4">
          <tpl hier="8" item="5"/>
          <tpl fld="2" item="0"/>
          <tpl fld="0" item="6"/>
          <tpl hier="29" item="8"/>
        </tpls>
      </m>
      <m>
        <tpls c="4">
          <tpl hier="8" item="5"/>
          <tpl fld="2" item="0"/>
          <tpl fld="0" item="42"/>
          <tpl hier="29" item="8"/>
        </tpls>
      </m>
      <m>
        <tpls c="4">
          <tpl hier="8" item="5"/>
          <tpl fld="2" item="0"/>
          <tpl fld="0" item="35"/>
          <tpl hier="29" item="8"/>
        </tpls>
      </m>
      <m>
        <tpls c="4">
          <tpl hier="8" item="5"/>
          <tpl fld="2" item="0"/>
          <tpl fld="0" item="21"/>
          <tpl hier="29" item="8"/>
        </tpls>
      </m>
      <m>
        <tpls c="4">
          <tpl hier="8" item="5"/>
          <tpl fld="2" item="0"/>
          <tpl fld="0" item="23"/>
          <tpl hier="29" item="8"/>
        </tpls>
      </m>
      <n v="1603.136" in="0">
        <tpls c="4">
          <tpl hier="8" item="5"/>
          <tpl fld="2" item="0"/>
          <tpl fld="0" item="11"/>
          <tpl hier="29" item="8"/>
        </tpls>
      </n>
      <m>
        <tpls c="4">
          <tpl hier="8" item="5"/>
          <tpl fld="2" item="0"/>
          <tpl fld="0" item="31"/>
          <tpl hier="29" item="8"/>
        </tpls>
      </m>
      <m>
        <tpls c="4">
          <tpl hier="8" item="5"/>
          <tpl fld="2" item="0"/>
          <tpl fld="0" item="19"/>
          <tpl hier="29" item="8"/>
        </tpls>
      </m>
      <m>
        <tpls c="4">
          <tpl hier="8" item="5"/>
          <tpl fld="2" item="0"/>
          <tpl fld="0" item="16"/>
          <tpl hier="29" item="8"/>
        </tpls>
      </m>
      <m>
        <tpls c="4">
          <tpl hier="8" item="5"/>
          <tpl fld="2" item="0"/>
          <tpl fld="0" item="3"/>
          <tpl hier="29" item="8"/>
        </tpls>
      </m>
      <m>
        <tpls c="4">
          <tpl hier="8" item="5"/>
          <tpl fld="2" item="0"/>
          <tpl fld="0" item="10"/>
          <tpl hier="29" item="8"/>
        </tpls>
      </m>
      <m>
        <tpls c="4">
          <tpl hier="8" item="5"/>
          <tpl fld="2" item="0"/>
          <tpl fld="0" item="40"/>
          <tpl hier="29" item="8"/>
        </tpls>
      </m>
      <m>
        <tpls c="4">
          <tpl hier="8" item="5"/>
          <tpl fld="2" item="0"/>
          <tpl fld="0" item="39"/>
          <tpl hier="29" item="8"/>
        </tpls>
      </m>
      <m>
        <tpls c="4">
          <tpl hier="8" item="5"/>
          <tpl fld="2" item="0"/>
          <tpl fld="0" item="12"/>
          <tpl hier="29" item="8"/>
        </tpls>
      </m>
      <m>
        <tpls c="4">
          <tpl hier="8" item="5"/>
          <tpl fld="2" item="0"/>
          <tpl fld="0" item="4"/>
          <tpl hier="29" item="8"/>
        </tpls>
      </m>
      <m>
        <tpls c="4">
          <tpl hier="8" item="5"/>
          <tpl fld="2" item="0"/>
          <tpl fld="0" item="18"/>
          <tpl hier="29" item="8"/>
        </tpls>
      </m>
      <m>
        <tpls c="4">
          <tpl hier="8" item="5"/>
          <tpl fld="2" item="0"/>
          <tpl fld="0" item="45"/>
          <tpl hier="29" item="8"/>
        </tpls>
      </m>
      <m>
        <tpls c="4">
          <tpl hier="8" item="5"/>
          <tpl fld="2" item="0"/>
          <tpl fld="0" item="1"/>
          <tpl hier="29" item="8"/>
        </tpls>
      </m>
      <m>
        <tpls c="4">
          <tpl hier="8" item="5"/>
          <tpl fld="2" item="0"/>
          <tpl fld="0" item="37"/>
          <tpl hier="29" item="8"/>
        </tpls>
      </m>
      <n v="3766.018" in="0">
        <tpls c="4">
          <tpl hier="8" item="5"/>
          <tpl fld="2" item="0"/>
          <tpl fld="0" item="26"/>
          <tpl hier="29" item="8"/>
        </tpls>
      </n>
      <m>
        <tpls c="4">
          <tpl hier="8" item="5"/>
          <tpl fld="2" item="0"/>
          <tpl fld="0" item="33"/>
          <tpl hier="29" item="8"/>
        </tpls>
      </m>
      <m>
        <tpls c="4">
          <tpl hier="8" item="5"/>
          <tpl fld="2" item="0"/>
          <tpl fld="0" item="44"/>
          <tpl hier="29" item="8"/>
        </tpls>
      </m>
      <n v="6405.3220000000001" in="0">
        <tpls c="4">
          <tpl hier="8" item="5"/>
          <tpl fld="2" item="0"/>
          <tpl fld="0" item="22"/>
          <tpl hier="29" item="8"/>
        </tpls>
      </n>
      <n v="2560.741" in="0">
        <tpls c="4">
          <tpl hier="8" item="5"/>
          <tpl fld="2" item="0"/>
          <tpl fld="0" item="30"/>
          <tpl hier="29" item="8"/>
        </tpls>
      </n>
      <m>
        <tpls c="4">
          <tpl hier="8" item="5"/>
          <tpl fld="2" item="0"/>
          <tpl fld="0" item="20"/>
          <tpl hier="29" item="8"/>
        </tpls>
      </m>
      <m in="0">
        <tpls c="4">
          <tpl hier="8" item="5"/>
          <tpl fld="2" item="0"/>
          <tpl fld="0" item="47"/>
          <tpl hier="29" item="8"/>
        </tpls>
      </m>
      <m>
        <tpls c="4">
          <tpl hier="8" item="5"/>
          <tpl fld="2" item="0"/>
          <tpl fld="0" item="15"/>
          <tpl hier="29" item="8"/>
        </tpls>
      </m>
      <m in="0">
        <tpls c="4">
          <tpl hier="8" item="5"/>
          <tpl fld="2" item="0"/>
          <tpl fld="0" item="34"/>
          <tpl hier="29" item="8"/>
        </tpls>
      </m>
      <m>
        <tpls c="4">
          <tpl hier="8" item="5"/>
          <tpl fld="2" item="0"/>
          <tpl fld="0" item="2"/>
          <tpl hier="29" item="8"/>
        </tpls>
      </m>
      <m>
        <tpls c="4">
          <tpl hier="8" item="5"/>
          <tpl fld="2" item="0"/>
          <tpl fld="0" item="29"/>
          <tpl hier="29" item="8"/>
        </tpls>
      </m>
      <n v="6742.8980000000001" in="0">
        <tpls c="4">
          <tpl hier="8" item="5"/>
          <tpl fld="2" item="0"/>
          <tpl fld="0" item="32"/>
          <tpl hier="29" item="8"/>
        </tpls>
      </n>
      <m>
        <tpls c="4">
          <tpl hier="8" item="5"/>
          <tpl fld="2" item="0"/>
          <tpl fld="0" item="27"/>
          <tpl hier="29" item="8"/>
        </tpls>
      </m>
      <m>
        <tpls c="4">
          <tpl hier="8" item="5"/>
          <tpl fld="2" item="0"/>
          <tpl fld="0" item="41"/>
          <tpl hier="29" item="8"/>
        </tpls>
      </m>
      <n v="49927.255499999999" in="0">
        <tpls c="4">
          <tpl hier="8" item="5"/>
          <tpl fld="2" item="0"/>
          <tpl fld="0" item="0"/>
          <tpl hier="29" item="8"/>
        </tpls>
      </n>
      <m>
        <tpls c="4">
          <tpl hier="8" item="5"/>
          <tpl fld="2" item="0"/>
          <tpl fld="0" item="8"/>
          <tpl hier="29" item="8"/>
        </tpls>
      </m>
      <n v="1685.88" in="0">
        <tpls c="4">
          <tpl hier="8" item="5"/>
          <tpl fld="2" item="0"/>
          <tpl fld="0" item="9"/>
          <tpl hier="29" item="8"/>
        </tpls>
      </n>
      <m in="0">
        <tpls c="4">
          <tpl hier="8" item="5"/>
          <tpl fld="2" item="0"/>
          <tpl fld="0" item="13"/>
          <tpl hier="29" item="8"/>
        </tpls>
      </m>
      <m>
        <tpls c="4">
          <tpl hier="8" item="5"/>
          <tpl fld="2" item="0"/>
          <tpl fld="0" item="36"/>
          <tpl hier="29" item="8"/>
        </tpls>
      </m>
      <m>
        <tpls c="4">
          <tpl hier="8" item="5"/>
          <tpl fld="2" item="0"/>
          <tpl fld="0" item="46"/>
          <tpl hier="29" item="8"/>
        </tpls>
      </m>
      <n v="1128.3900000000001" in="0">
        <tpls c="4">
          <tpl hier="8" item="5"/>
          <tpl fld="2" item="0"/>
          <tpl fld="0" item="24"/>
          <tpl hier="29" item="8"/>
        </tpls>
      </n>
      <m>
        <tpls c="4">
          <tpl hier="8" item="5"/>
          <tpl fld="2" item="0"/>
          <tpl fld="0" item="7"/>
          <tpl hier="29" item="8"/>
        </tpls>
      </m>
      <m>
        <tpls c="4">
          <tpl hier="8" item="5"/>
          <tpl fld="2" item="0"/>
          <tpl fld="0" item="25"/>
          <tpl hier="29" item="8"/>
        </tpls>
      </m>
      <m>
        <tpls c="4">
          <tpl hier="8" item="5"/>
          <tpl fld="2" item="0"/>
          <tpl fld="0" item="28"/>
          <tpl hier="29" item="8"/>
        </tpls>
      </m>
      <m>
        <tpls c="4">
          <tpl hier="8" item="5"/>
          <tpl fld="2" item="0"/>
          <tpl fld="0" item="14"/>
          <tpl hier="29" item="8"/>
        </tpls>
      </m>
      <n v="60893.542500000003" in="0">
        <tpls c="3">
          <tpl hier="8" item="9"/>
          <tpl fld="2" item="0"/>
          <tpl fld="1" item="2"/>
        </tpls>
      </n>
      <n v="30024.279699999999" in="0">
        <tpls c="3">
          <tpl hier="8" item="9"/>
          <tpl fld="2" item="0"/>
          <tpl fld="1" item="0"/>
        </tpls>
      </n>
      <m>
        <tpls c="4">
          <tpl hier="8" item="9"/>
          <tpl fld="2" item="0"/>
          <tpl fld="0" item="43"/>
          <tpl hier="29" item="8"/>
        </tpls>
      </m>
      <m>
        <tpls c="4">
          <tpl hier="8" item="9"/>
          <tpl fld="2" item="0"/>
          <tpl fld="0" item="5"/>
          <tpl hier="29" item="8"/>
        </tpls>
      </m>
      <m>
        <tpls c="4">
          <tpl hier="8" item="9"/>
          <tpl fld="2" item="0"/>
          <tpl fld="0" item="17"/>
          <tpl hier="29" item="8"/>
        </tpls>
      </m>
      <m>
        <tpls c="4">
          <tpl hier="8" item="9"/>
          <tpl fld="2" item="0"/>
          <tpl fld="0" item="38"/>
          <tpl hier="29" item="8"/>
        </tpls>
      </m>
      <m>
        <tpls c="4">
          <tpl hier="8" item="9"/>
          <tpl fld="2" item="0"/>
          <tpl fld="0" item="6"/>
          <tpl hier="29" item="8"/>
        </tpls>
      </m>
      <m>
        <tpls c="4">
          <tpl hier="8" item="9"/>
          <tpl fld="2" item="0"/>
          <tpl fld="0" item="42"/>
          <tpl hier="29" item="8"/>
        </tpls>
      </m>
      <m>
        <tpls c="4">
          <tpl hier="8" item="9"/>
          <tpl fld="2" item="0"/>
          <tpl fld="0" item="35"/>
          <tpl hier="29" item="8"/>
        </tpls>
      </m>
      <m>
        <tpls c="4">
          <tpl hier="8" item="9"/>
          <tpl fld="2" item="0"/>
          <tpl fld="0" item="21"/>
          <tpl hier="29" item="8"/>
        </tpls>
      </m>
      <m>
        <tpls c="4">
          <tpl hier="8" item="9"/>
          <tpl fld="2" item="0"/>
          <tpl fld="0" item="23"/>
          <tpl hier="29" item="8"/>
        </tpls>
      </m>
      <m in="0">
        <tpls c="4">
          <tpl hier="8" item="9"/>
          <tpl fld="2" item="0"/>
          <tpl fld="0" item="11"/>
          <tpl hier="29" item="8"/>
        </tpls>
      </m>
      <m>
        <tpls c="4">
          <tpl hier="8" item="9"/>
          <tpl fld="2" item="0"/>
          <tpl fld="0" item="31"/>
          <tpl hier="29" item="8"/>
        </tpls>
      </m>
      <m>
        <tpls c="4">
          <tpl hier="8" item="9"/>
          <tpl fld="2" item="0"/>
          <tpl fld="0" item="19"/>
          <tpl hier="29" item="8"/>
        </tpls>
      </m>
      <m>
        <tpls c="4">
          <tpl hier="8" item="9"/>
          <tpl fld="2" item="0"/>
          <tpl fld="0" item="16"/>
          <tpl hier="29" item="8"/>
        </tpls>
      </m>
      <m>
        <tpls c="4">
          <tpl hier="8" item="9"/>
          <tpl fld="2" item="0"/>
          <tpl fld="0" item="3"/>
          <tpl hier="29" item="8"/>
        </tpls>
      </m>
      <m>
        <tpls c="4">
          <tpl hier="8" item="9"/>
          <tpl fld="2" item="0"/>
          <tpl fld="0" item="10"/>
          <tpl hier="29" item="8"/>
        </tpls>
      </m>
      <m>
        <tpls c="4">
          <tpl hier="8" item="9"/>
          <tpl fld="2" item="0"/>
          <tpl fld="0" item="40"/>
          <tpl hier="29" item="8"/>
        </tpls>
      </m>
      <m>
        <tpls c="4">
          <tpl hier="8" item="9"/>
          <tpl fld="2" item="0"/>
          <tpl fld="0" item="39"/>
          <tpl hier="29" item="8"/>
        </tpls>
      </m>
      <m>
        <tpls c="4">
          <tpl hier="8" item="9"/>
          <tpl fld="2" item="0"/>
          <tpl fld="0" item="12"/>
          <tpl hier="29" item="8"/>
        </tpls>
      </m>
      <m>
        <tpls c="4">
          <tpl hier="8" item="9"/>
          <tpl fld="2" item="0"/>
          <tpl fld="0" item="4"/>
          <tpl hier="29" item="8"/>
        </tpls>
      </m>
      <m>
        <tpls c="4">
          <tpl hier="8" item="9"/>
          <tpl fld="2" item="0"/>
          <tpl fld="0" item="18"/>
          <tpl hier="29" item="8"/>
        </tpls>
      </m>
      <m>
        <tpls c="4">
          <tpl hier="8" item="9"/>
          <tpl fld="2" item="0"/>
          <tpl fld="0" item="45"/>
          <tpl hier="29" item="8"/>
        </tpls>
      </m>
      <m>
        <tpls c="4">
          <tpl hier="8" item="9"/>
          <tpl fld="2" item="0"/>
          <tpl fld="0" item="1"/>
          <tpl hier="29" item="8"/>
        </tpls>
      </m>
      <m>
        <tpls c="4">
          <tpl hier="8" item="9"/>
          <tpl fld="2" item="0"/>
          <tpl fld="0" item="37"/>
          <tpl hier="29" item="8"/>
        </tpls>
      </m>
      <n v="4502.1670000000004" in="0">
        <tpls c="4">
          <tpl hier="8" item="9"/>
          <tpl fld="2" item="0"/>
          <tpl fld="0" item="26"/>
          <tpl hier="29" item="8"/>
        </tpls>
      </n>
      <m>
        <tpls c="4">
          <tpl hier="8" item="9"/>
          <tpl fld="2" item="0"/>
          <tpl fld="0" item="33"/>
          <tpl hier="29" item="8"/>
        </tpls>
      </m>
      <m>
        <tpls c="4">
          <tpl hier="8" item="9"/>
          <tpl fld="2" item="0"/>
          <tpl fld="0" item="44"/>
          <tpl hier="29" item="8"/>
        </tpls>
      </m>
      <n v="18536.342000000001" in="0">
        <tpls c="4">
          <tpl hier="8" item="9"/>
          <tpl fld="2" item="0"/>
          <tpl fld="0" item="22"/>
          <tpl hier="29" item="8"/>
        </tpls>
      </n>
      <n v="1368.865" in="0">
        <tpls c="4">
          <tpl hier="8" item="9"/>
          <tpl fld="2" item="0"/>
          <tpl fld="0" item="30"/>
          <tpl hier="29" item="8"/>
        </tpls>
      </n>
      <m>
        <tpls c="4">
          <tpl hier="8" item="9"/>
          <tpl fld="2" item="0"/>
          <tpl fld="0" item="20"/>
          <tpl hier="29" item="8"/>
        </tpls>
      </m>
      <n v="28915.094000000001" in="0">
        <tpls c="3">
          <tpl hier="8" item="9"/>
          <tpl fld="2" item="0"/>
          <tpl fld="1" item="1"/>
        </tpls>
      </n>
      <n v="95554.353000000003" in="0">
        <tpls c="3">
          <tpl hier="8" item="9"/>
          <tpl fld="2" item="0"/>
          <tpl fld="1" item="3"/>
        </tpls>
      </n>
      <n v="1318.1" in="0">
        <tpls c="4">
          <tpl hier="8" item="9"/>
          <tpl fld="2" item="0"/>
          <tpl fld="0" item="47"/>
          <tpl hier="29" item="8"/>
        </tpls>
      </n>
      <m>
        <tpls c="4">
          <tpl hier="8" item="9"/>
          <tpl fld="2" item="0"/>
          <tpl fld="0" item="15"/>
          <tpl hier="29" item="8"/>
        </tpls>
      </m>
      <m in="0">
        <tpls c="4">
          <tpl hier="8" item="9"/>
          <tpl fld="2" item="0"/>
          <tpl fld="0" item="34"/>
          <tpl hier="29" item="8"/>
        </tpls>
      </m>
      <m>
        <tpls c="4">
          <tpl hier="8" item="9"/>
          <tpl fld="2" item="0"/>
          <tpl fld="0" item="2"/>
          <tpl hier="29" item="8"/>
        </tpls>
      </m>
      <m>
        <tpls c="4">
          <tpl hier="8" item="9"/>
          <tpl fld="2" item="0"/>
          <tpl fld="0" item="29"/>
          <tpl hier="29" item="8"/>
        </tpls>
      </m>
      <n v="2775.6370000000002" in="0">
        <tpls c="4">
          <tpl hier="8" item="9"/>
          <tpl fld="2" item="0"/>
          <tpl fld="0" item="32"/>
          <tpl hier="29" item="8"/>
        </tpls>
      </n>
      <m>
        <tpls c="4">
          <tpl hier="8" item="9"/>
          <tpl fld="2" item="0"/>
          <tpl fld="0" item="27"/>
          <tpl hier="29" item="8"/>
        </tpls>
      </m>
      <m>
        <tpls c="4">
          <tpl hier="8" item="9"/>
          <tpl fld="2" item="0"/>
          <tpl fld="0" item="41"/>
          <tpl hier="29" item="8"/>
        </tpls>
      </m>
      <n v="40674.370499999997" in="0">
        <tpls c="4">
          <tpl hier="8" item="9"/>
          <tpl fld="2" item="0"/>
          <tpl fld="0" item="0"/>
          <tpl hier="29" item="8"/>
        </tpls>
      </n>
      <m>
        <tpls c="4">
          <tpl hier="8" item="9"/>
          <tpl fld="2" item="0"/>
          <tpl fld="0" item="8"/>
          <tpl hier="29" item="8"/>
        </tpls>
      </m>
      <n v="1866.05" in="0">
        <tpls c="4">
          <tpl hier="8" item="9"/>
          <tpl fld="2" item="0"/>
          <tpl fld="0" item="9"/>
          <tpl hier="29" item="8"/>
        </tpls>
      </n>
      <n v="587.22" in="0">
        <tpls c="4">
          <tpl hier="8" item="9"/>
          <tpl fld="2" item="0"/>
          <tpl fld="0" item="13"/>
          <tpl hier="29" item="8"/>
        </tpls>
      </n>
      <m>
        <tpls c="4">
          <tpl hier="8" item="9"/>
          <tpl fld="2" item="0"/>
          <tpl fld="0" item="36"/>
          <tpl hier="29" item="8"/>
        </tpls>
      </m>
      <m>
        <tpls c="4">
          <tpl hier="8" item="9"/>
          <tpl fld="2" item="0"/>
          <tpl fld="0" item="46"/>
          <tpl hier="29" item="8"/>
        </tpls>
      </m>
      <n v="76.959999999999994" in="0">
        <tpls c="4">
          <tpl hier="8" item="9"/>
          <tpl fld="2" item="0"/>
          <tpl fld="0" item="24"/>
          <tpl hier="29" item="8"/>
        </tpls>
      </n>
      <m>
        <tpls c="4">
          <tpl hier="8" item="9"/>
          <tpl fld="2" item="0"/>
          <tpl fld="0" item="7"/>
          <tpl hier="29" item="8"/>
        </tpls>
      </m>
      <m>
        <tpls c="4">
          <tpl hier="8" item="9"/>
          <tpl fld="2" item="0"/>
          <tpl fld="0" item="25"/>
          <tpl hier="29" item="8"/>
        </tpls>
      </m>
      <m>
        <tpls c="4">
          <tpl hier="8" item="9"/>
          <tpl fld="2" item="0"/>
          <tpl fld="0" item="28"/>
          <tpl hier="29" item="8"/>
        </tpls>
      </m>
      <m>
        <tpls c="4">
          <tpl hier="8" item="9"/>
          <tpl fld="2" item="0"/>
          <tpl fld="0" item="14"/>
          <tpl hier="29" item="8"/>
        </tpls>
      </m>
      <m>
        <tpls c="4">
          <tpl hier="8" item="9"/>
          <tpl fld="2" item="0"/>
          <tpl fld="0" item="43"/>
          <tpl hier="29" item="4"/>
        </tpls>
      </m>
      <m>
        <tpls c="4">
          <tpl hier="8" item="9"/>
          <tpl fld="2" item="0"/>
          <tpl fld="0" item="5"/>
          <tpl hier="29" item="4"/>
        </tpls>
      </m>
      <m>
        <tpls c="4">
          <tpl hier="8" item="9"/>
          <tpl fld="2" item="0"/>
          <tpl fld="0" item="17"/>
          <tpl hier="29" item="4"/>
        </tpls>
      </m>
      <m>
        <tpls c="4">
          <tpl hier="8" item="9"/>
          <tpl fld="2" item="0"/>
          <tpl fld="0" item="38"/>
          <tpl hier="29" item="4"/>
        </tpls>
      </m>
      <m in="0">
        <tpls c="4">
          <tpl hier="8" item="9"/>
          <tpl fld="2" item="0"/>
          <tpl fld="0" item="6"/>
          <tpl hier="29" item="4"/>
        </tpls>
      </m>
      <n v="444.67" in="0">
        <tpls c="4">
          <tpl hier="8" item="9"/>
          <tpl fld="2" item="0"/>
          <tpl fld="0" item="42"/>
          <tpl hier="29" item="4"/>
        </tpls>
      </n>
      <m>
        <tpls c="4">
          <tpl hier="8" item="9"/>
          <tpl fld="2" item="0"/>
          <tpl fld="0" item="35"/>
          <tpl hier="29" item="4"/>
        </tpls>
      </m>
      <m>
        <tpls c="4">
          <tpl hier="8" item="9"/>
          <tpl fld="2" item="0"/>
          <tpl fld="0" item="21"/>
          <tpl hier="29" item="4"/>
        </tpls>
      </m>
      <m>
        <tpls c="4">
          <tpl hier="8" item="9"/>
          <tpl fld="2" item="0"/>
          <tpl fld="0" item="23"/>
          <tpl hier="29" item="4"/>
        </tpls>
      </m>
      <m>
        <tpls c="4">
          <tpl hier="8" item="9"/>
          <tpl fld="2" item="0"/>
          <tpl fld="0" item="11"/>
          <tpl hier="29" item="4"/>
        </tpls>
      </m>
      <m>
        <tpls c="4">
          <tpl hier="8" item="9"/>
          <tpl fld="2" item="0"/>
          <tpl fld="0" item="31"/>
          <tpl hier="29" item="4"/>
        </tpls>
      </m>
      <m>
        <tpls c="4">
          <tpl hier="8" item="9"/>
          <tpl fld="2" item="0"/>
          <tpl fld="0" item="19"/>
          <tpl hier="29" item="4"/>
        </tpls>
      </m>
      <m>
        <tpls c="4">
          <tpl hier="8" item="9"/>
          <tpl fld="2" item="0"/>
          <tpl fld="0" item="16"/>
          <tpl hier="29" item="4"/>
        </tpls>
      </m>
      <m>
        <tpls c="4">
          <tpl hier="8" item="9"/>
          <tpl fld="2" item="0"/>
          <tpl fld="0" item="3"/>
          <tpl hier="29" item="4"/>
        </tpls>
      </m>
      <n v="3702.57" in="0">
        <tpls c="4">
          <tpl hier="8" item="9"/>
          <tpl fld="2" item="0"/>
          <tpl fld="0" item="10"/>
          <tpl hier="29" item="4"/>
        </tpls>
      </n>
      <m>
        <tpls c="4">
          <tpl hier="8" item="9"/>
          <tpl fld="2" item="0"/>
          <tpl fld="0" item="40"/>
          <tpl hier="29" item="4"/>
        </tpls>
      </m>
      <m>
        <tpls c="4">
          <tpl hier="8" item="9"/>
          <tpl fld="2" item="0"/>
          <tpl fld="0" item="39"/>
          <tpl hier="29" item="4"/>
        </tpls>
      </m>
      <m>
        <tpls c="4">
          <tpl hier="8" item="9"/>
          <tpl fld="2" item="0"/>
          <tpl fld="0" item="12"/>
          <tpl hier="29" item="4"/>
        </tpls>
      </m>
      <n v="7500.65" in="0">
        <tpls c="4">
          <tpl hier="8" item="9"/>
          <tpl fld="2" item="0"/>
          <tpl fld="0" item="4"/>
          <tpl hier="29" item="4"/>
        </tpls>
      </n>
      <m>
        <tpls c="4">
          <tpl hier="8" item="9"/>
          <tpl fld="2" item="0"/>
          <tpl fld="0" item="18"/>
          <tpl hier="29" item="4"/>
        </tpls>
      </m>
      <m>
        <tpls c="4">
          <tpl hier="8" item="9"/>
          <tpl fld="2" item="0"/>
          <tpl fld="0" item="45"/>
          <tpl hier="29" item="4"/>
        </tpls>
      </m>
      <n v="10365.7315" in="0">
        <tpls c="4">
          <tpl hier="8" item="9"/>
          <tpl fld="2" item="0"/>
          <tpl fld="0" item="1"/>
          <tpl hier="29" item="4"/>
        </tpls>
      </n>
      <n v="2148.5100000000002" in="0">
        <tpls c="4">
          <tpl hier="8" item="9"/>
          <tpl fld="2" item="0"/>
          <tpl fld="0" item="37"/>
          <tpl hier="29" item="4"/>
        </tpls>
      </n>
      <m>
        <tpls c="4">
          <tpl hier="8" item="9"/>
          <tpl fld="2" item="0"/>
          <tpl fld="0" item="26"/>
          <tpl hier="29" item="4"/>
        </tpls>
      </m>
      <m>
        <tpls c="4">
          <tpl hier="8" item="9"/>
          <tpl fld="2" item="0"/>
          <tpl fld="0" item="33"/>
          <tpl hier="29" item="4"/>
        </tpls>
      </m>
      <m>
        <tpls c="4">
          <tpl hier="8" item="9"/>
          <tpl fld="2" item="0"/>
          <tpl fld="0" item="44"/>
          <tpl hier="29" item="4"/>
        </tpls>
      </m>
      <m>
        <tpls c="4">
          <tpl hier="8" item="9"/>
          <tpl fld="2" item="0"/>
          <tpl fld="0" item="22"/>
          <tpl hier="29" item="4"/>
        </tpls>
      </m>
      <m>
        <tpls c="4">
          <tpl hier="8" item="9"/>
          <tpl fld="2" item="0"/>
          <tpl fld="0" item="30"/>
          <tpl hier="29" item="4"/>
        </tpls>
      </m>
      <n v="866.4" in="0">
        <tpls c="4">
          <tpl hier="8" item="9"/>
          <tpl fld="2" item="0"/>
          <tpl fld="0" item="20"/>
          <tpl hier="29" item="4"/>
        </tpls>
      </n>
      <m>
        <tpls c="4">
          <tpl hier="8" item="9"/>
          <tpl fld="2" item="0"/>
          <tpl fld="0" item="47"/>
          <tpl hier="29" item="4"/>
        </tpls>
      </m>
      <m>
        <tpls c="4">
          <tpl hier="8" item="9"/>
          <tpl fld="2" item="0"/>
          <tpl fld="0" item="15"/>
          <tpl hier="29" item="4"/>
        </tpls>
      </m>
      <m>
        <tpls c="4">
          <tpl hier="8" item="9"/>
          <tpl fld="2" item="0"/>
          <tpl fld="0" item="34"/>
          <tpl hier="29" item="4"/>
        </tpls>
      </m>
      <n v="152.12" in="0">
        <tpls c="4">
          <tpl hier="8" item="9"/>
          <tpl fld="2" item="0"/>
          <tpl fld="0" item="2"/>
          <tpl hier="29" item="4"/>
        </tpls>
      </n>
      <m>
        <tpls c="4">
          <tpl hier="8" item="9"/>
          <tpl fld="2" item="0"/>
          <tpl fld="0" item="29"/>
          <tpl hier="29" item="4"/>
        </tpls>
      </m>
      <m>
        <tpls c="4">
          <tpl hier="8" item="9"/>
          <tpl fld="2" item="0"/>
          <tpl fld="0" item="32"/>
          <tpl hier="29" item="4"/>
        </tpls>
      </m>
      <n v="4996.26" in="0">
        <tpls c="4">
          <tpl hier="8" item="9"/>
          <tpl fld="2" item="0"/>
          <tpl fld="0" item="27"/>
          <tpl hier="29" item="4"/>
        </tpls>
      </n>
      <n v="3482.84" in="0">
        <tpls c="4">
          <tpl hier="8" item="9"/>
          <tpl fld="2" item="0"/>
          <tpl fld="0" item="41"/>
          <tpl hier="29" item="4"/>
        </tpls>
      </n>
      <m>
        <tpls c="4">
          <tpl hier="8" item="9"/>
          <tpl fld="2" item="0"/>
          <tpl fld="0" item="0"/>
          <tpl hier="29" item="4"/>
        </tpls>
      </m>
      <m>
        <tpls c="4">
          <tpl hier="8" item="9"/>
          <tpl fld="2" item="0"/>
          <tpl fld="0" item="8"/>
          <tpl hier="29" item="4"/>
        </tpls>
      </m>
      <m>
        <tpls c="4">
          <tpl hier="8" item="9"/>
          <tpl fld="2" item="0"/>
          <tpl fld="0" item="9"/>
          <tpl hier="29" item="4"/>
        </tpls>
      </m>
      <m>
        <tpls c="4">
          <tpl hier="8" item="9"/>
          <tpl fld="2" item="0"/>
          <tpl fld="0" item="13"/>
          <tpl hier="29" item="4"/>
        </tpls>
      </m>
      <m>
        <tpls c="4">
          <tpl hier="8" item="9"/>
          <tpl fld="2" item="0"/>
          <tpl fld="0" item="36"/>
          <tpl hier="29" item="4"/>
        </tpls>
      </m>
      <n v="4645.674" in="0">
        <tpls c="4">
          <tpl hier="8" item="9"/>
          <tpl fld="2" item="0"/>
          <tpl fld="0" item="46"/>
          <tpl hier="29" item="4"/>
        </tpls>
      </n>
      <m>
        <tpls c="4">
          <tpl hier="8" item="9"/>
          <tpl fld="2" item="0"/>
          <tpl fld="0" item="24"/>
          <tpl hier="29" item="4"/>
        </tpls>
      </m>
      <m>
        <tpls c="4">
          <tpl hier="8" item="9"/>
          <tpl fld="2" item="0"/>
          <tpl fld="0" item="7"/>
          <tpl hier="29" item="4"/>
        </tpls>
      </m>
      <m>
        <tpls c="4">
          <tpl hier="8" item="9"/>
          <tpl fld="2" item="0"/>
          <tpl fld="0" item="25"/>
          <tpl hier="29" item="4"/>
        </tpls>
      </m>
      <m>
        <tpls c="4">
          <tpl hier="8" item="9"/>
          <tpl fld="2" item="0"/>
          <tpl fld="0" item="28"/>
          <tpl hier="29" item="4"/>
        </tpls>
      </m>
      <m>
        <tpls c="4">
          <tpl hier="8" item="9"/>
          <tpl fld="2" item="0"/>
          <tpl fld="0" item="14"/>
          <tpl hier="29" item="4"/>
        </tpls>
      </m>
      <n v="49.49" in="0">
        <tpls c="4">
          <tpl hier="8" item="9"/>
          <tpl fld="2" item="0"/>
          <tpl fld="0" item="43"/>
          <tpl hier="29" item="1"/>
        </tpls>
      </n>
      <n v="4242.1899999999996" in="0">
        <tpls c="4">
          <tpl hier="8" item="9"/>
          <tpl fld="2" item="0"/>
          <tpl fld="0" item="5"/>
          <tpl hier="29" item="1"/>
        </tpls>
      </n>
      <n v="23624.179" in="0">
        <tpls c="4">
          <tpl hier="8" item="9"/>
          <tpl fld="2" item="0"/>
          <tpl fld="0" item="17"/>
          <tpl hier="29" item="1"/>
        </tpls>
      </n>
      <m in="0">
        <tpls c="4">
          <tpl hier="8" item="9"/>
          <tpl fld="2" item="0"/>
          <tpl fld="0" item="38"/>
          <tpl hier="29" item="1"/>
        </tpls>
      </m>
      <m in="0">
        <tpls c="4">
          <tpl hier="8" item="9"/>
          <tpl fld="2" item="0"/>
          <tpl fld="0" item="6"/>
          <tpl hier="29" item="1"/>
        </tpls>
      </m>
      <n v="444.67" in="0">
        <tpls c="4">
          <tpl hier="8" item="9"/>
          <tpl fld="2" item="0"/>
          <tpl fld="0" item="42"/>
          <tpl hier="29" item="1"/>
        </tpls>
      </n>
      <n v="673.34400000000005" in="0">
        <tpls c="4">
          <tpl hier="8" item="9"/>
          <tpl fld="2" item="0"/>
          <tpl fld="0" item="35"/>
          <tpl hier="29" item="1"/>
        </tpls>
      </n>
      <n v="15.92" in="0">
        <tpls c="4">
          <tpl hier="8" item="9"/>
          <tpl fld="2" item="0"/>
          <tpl fld="0" item="21"/>
          <tpl hier="29" item="1"/>
        </tpls>
      </n>
      <n v="1345.3" in="0">
        <tpls c="4">
          <tpl hier="8" item="9"/>
          <tpl fld="2" item="0"/>
          <tpl fld="0" item="23"/>
          <tpl hier="29" item="1"/>
        </tpls>
      </n>
      <m in="0">
        <tpls c="4">
          <tpl hier="8" item="9"/>
          <tpl fld="2" item="0"/>
          <tpl fld="0" item="11"/>
          <tpl hier="29" item="1"/>
        </tpls>
      </m>
      <n v="1770.54" in="0">
        <tpls c="4">
          <tpl hier="8" item="9"/>
          <tpl fld="2" item="0"/>
          <tpl fld="0" item="31"/>
          <tpl hier="29" item="1"/>
        </tpls>
      </n>
      <m in="0">
        <tpls c="4">
          <tpl hier="8" item="9"/>
          <tpl fld="2" item="0"/>
          <tpl fld="0" item="19"/>
          <tpl hier="29" item="1"/>
        </tpls>
      </m>
      <n v="16010.834199999999" in="0">
        <tpls c="4">
          <tpl hier="8" item="9"/>
          <tpl fld="2" item="0"/>
          <tpl fld="0" item="16"/>
          <tpl hier="29" item="1"/>
        </tpls>
      </n>
      <n v="4732.47" in="0">
        <tpls c="4">
          <tpl hier="8" item="9"/>
          <tpl fld="2" item="0"/>
          <tpl fld="0" item="3"/>
          <tpl hier="29" item="1"/>
        </tpls>
      </n>
      <n v="3702.57" in="0">
        <tpls c="4">
          <tpl hier="8" item="9"/>
          <tpl fld="2" item="0"/>
          <tpl fld="0" item="10"/>
          <tpl hier="29" item="1"/>
        </tpls>
      </n>
      <n v="182.94" in="0">
        <tpls c="4">
          <tpl hier="8" item="9"/>
          <tpl fld="2" item="0"/>
          <tpl fld="0" item="40"/>
          <tpl hier="29" item="1"/>
        </tpls>
      </n>
      <n v="37.68" in="0">
        <tpls c="4">
          <tpl hier="8" item="9"/>
          <tpl fld="2" item="0"/>
          <tpl fld="0" item="39"/>
          <tpl hier="29" item="1"/>
        </tpls>
      </n>
      <n v="3501.12" in="0">
        <tpls c="4">
          <tpl hier="8" item="9"/>
          <tpl fld="2" item="0"/>
          <tpl fld="0" item="12"/>
          <tpl hier="29" item="1"/>
        </tpls>
      </n>
      <n v="7500.65" in="0">
        <tpls c="4">
          <tpl hier="8" item="9"/>
          <tpl fld="2" item="0"/>
          <tpl fld="0" item="4"/>
          <tpl hier="29" item="1"/>
        </tpls>
      </n>
      <n v="474.54" in="0">
        <tpls c="4">
          <tpl hier="8" item="9"/>
          <tpl fld="2" item="0"/>
          <tpl fld="0" item="18"/>
          <tpl hier="29" item="1"/>
        </tpls>
      </n>
      <n v="5736.5079999999998" in="0">
        <tpls c="4">
          <tpl hier="8" item="9"/>
          <tpl fld="2" item="0"/>
          <tpl fld="0" item="45"/>
          <tpl hier="29" item="1"/>
        </tpls>
      </n>
      <n v="10365.7315" in="0">
        <tpls c="4">
          <tpl hier="8" item="9"/>
          <tpl fld="2" item="0"/>
          <tpl fld="0" item="1"/>
          <tpl hier="29" item="1"/>
        </tpls>
      </n>
      <n v="2148.5100000000002" in="0">
        <tpls c="4">
          <tpl hier="8" item="9"/>
          <tpl fld="2" item="0"/>
          <tpl fld="0" item="37"/>
          <tpl hier="29" item="1"/>
        </tpls>
      </n>
      <n v="4502.1670000000004" in="0">
        <tpls c="4">
          <tpl hier="8" item="9"/>
          <tpl fld="2" item="0"/>
          <tpl fld="0" item="26"/>
          <tpl hier="29" item="1"/>
        </tpls>
      </n>
      <n v="15325.450999999999" in="0">
        <tpls c="4">
          <tpl hier="8" item="9"/>
          <tpl fld="2" item="0"/>
          <tpl fld="0" item="33"/>
          <tpl hier="29" item="1"/>
        </tpls>
      </n>
      <m in="0">
        <tpls c="4">
          <tpl hier="8" item="9"/>
          <tpl fld="2" item="0"/>
          <tpl fld="0" item="44"/>
          <tpl hier="29" item="1"/>
        </tpls>
      </m>
      <n v="18536.342000000001" in="0">
        <tpls c="4">
          <tpl hier="8" item="9"/>
          <tpl fld="2" item="0"/>
          <tpl fld="0" item="22"/>
          <tpl hier="29" item="1"/>
        </tpls>
      </n>
      <n v="1368.865" in="0">
        <tpls c="4">
          <tpl hier="8" item="9"/>
          <tpl fld="2" item="0"/>
          <tpl fld="0" item="30"/>
          <tpl hier="29" item="1"/>
        </tpls>
      </n>
      <n v="866.4" in="0">
        <tpls c="4">
          <tpl hier="8" item="9"/>
          <tpl fld="2" item="0"/>
          <tpl fld="0" item="20"/>
          <tpl hier="29" item="1"/>
        </tpls>
      </n>
      <n v="1318.1" in="0">
        <tpls c="4">
          <tpl hier="8" item="9"/>
          <tpl fld="2" item="0"/>
          <tpl fld="0" item="47"/>
          <tpl hier="29" item="1"/>
        </tpls>
      </n>
      <n v="3096.94" in="0">
        <tpls c="4">
          <tpl hier="8" item="9"/>
          <tpl fld="2" item="0"/>
          <tpl fld="0" item="15"/>
          <tpl hier="29" item="1"/>
        </tpls>
      </n>
      <m in="0">
        <tpls c="4">
          <tpl hier="8" item="9"/>
          <tpl fld="2" item="0"/>
          <tpl fld="0" item="34"/>
          <tpl hier="29" item="1"/>
        </tpls>
      </m>
      <n v="152.12" in="0">
        <tpls c="4">
          <tpl hier="8" item="9"/>
          <tpl fld="2" item="0"/>
          <tpl fld="0" item="2"/>
          <tpl hier="29" item="1"/>
        </tpls>
      </n>
      <n v="8764.9269999999997" in="0">
        <tpls c="4">
          <tpl hier="8" item="9"/>
          <tpl fld="2" item="0"/>
          <tpl fld="0" item="29"/>
          <tpl hier="29" item="1"/>
        </tpls>
      </n>
      <n v="2775.6370000000002" in="0">
        <tpls c="4">
          <tpl hier="8" item="9"/>
          <tpl fld="2" item="0"/>
          <tpl fld="0" item="32"/>
          <tpl hier="29" item="1"/>
        </tpls>
      </n>
      <n v="4996.26" in="0">
        <tpls c="4">
          <tpl hier="8" item="9"/>
          <tpl fld="2" item="0"/>
          <tpl fld="0" item="27"/>
          <tpl hier="29" item="1"/>
        </tpls>
      </n>
      <n v="3482.84" in="0">
        <tpls c="4">
          <tpl hier="8" item="9"/>
          <tpl fld="2" item="0"/>
          <tpl fld="0" item="41"/>
          <tpl hier="29" item="1"/>
        </tpls>
      </n>
      <n v="40674.370499999997" in="0">
        <tpls c="4">
          <tpl hier="8" item="9"/>
          <tpl fld="2" item="0"/>
          <tpl fld="0" item="0"/>
          <tpl hier="29" item="1"/>
        </tpls>
      </n>
      <n v="2599.15" in="0">
        <tpls c="4">
          <tpl hier="8" item="9"/>
          <tpl fld="2" item="0"/>
          <tpl fld="0" item="8"/>
          <tpl hier="29" item="1"/>
        </tpls>
      </n>
      <n v="1866.05" in="0">
        <tpls c="4">
          <tpl hier="8" item="9"/>
          <tpl fld="2" item="0"/>
          <tpl fld="0" item="9"/>
          <tpl hier="29" item="1"/>
        </tpls>
      </n>
      <n v="587.22" in="0">
        <tpls c="4">
          <tpl hier="8" item="9"/>
          <tpl fld="2" item="0"/>
          <tpl fld="0" item="13"/>
          <tpl hier="29" item="1"/>
        </tpls>
      </n>
      <n v="7603.93" in="0">
        <tpls c="4">
          <tpl hier="8" item="9"/>
          <tpl fld="2" item="0"/>
          <tpl fld="0" item="36"/>
          <tpl hier="29" item="1"/>
        </tpls>
      </n>
      <n v="4645.674" in="0">
        <tpls c="4">
          <tpl hier="8" item="9"/>
          <tpl fld="2" item="0"/>
          <tpl fld="0" item="46"/>
          <tpl hier="29" item="1"/>
        </tpls>
      </n>
      <n v="76.959999999999994" in="0">
        <tpls c="4">
          <tpl hier="8" item="9"/>
          <tpl fld="2" item="0"/>
          <tpl fld="0" item="24"/>
          <tpl hier="29" item="1"/>
        </tpls>
      </n>
      <n v="1481.41" in="0">
        <tpls c="4">
          <tpl hier="8" item="9"/>
          <tpl fld="2" item="0"/>
          <tpl fld="0" item="7"/>
          <tpl hier="29" item="1"/>
        </tpls>
      </n>
      <n v="876.303" in="0">
        <tpls c="4">
          <tpl hier="8" item="9"/>
          <tpl fld="2" item="0"/>
          <tpl fld="0" item="25"/>
          <tpl hier="29" item="1"/>
        </tpls>
      </n>
      <n v="349.74" in="0">
        <tpls c="4">
          <tpl hier="8" item="9"/>
          <tpl fld="2" item="0"/>
          <tpl fld="0" item="28"/>
          <tpl hier="29" item="1"/>
        </tpls>
      </n>
      <n v="2881.2260000000001" in="0">
        <tpls c="4">
          <tpl hier="8" item="9"/>
          <tpl fld="2" item="0"/>
          <tpl fld="0" item="14"/>
          <tpl hier="29" item="1"/>
        </tpls>
      </n>
    </entries>
    <sets count="10">
      <set count="1" maxRank="1" setDefinition="{[Calendar].[Date (Year)].[All]}">
        <tpls c="1">
          <tpl hier="8" item="4294967295"/>
        </tpls>
      </set>
      <set count="1" maxRank="1" setDefinition="{[Super_Store_data].[Region].[All]}">
        <tpls c="1">
          <tpl hier="29" item="4294967295"/>
        </tpls>
      </set>
      <set count="1" maxRank="1" setDefinition="{[Calendar].[Date (Year)].&amp;[2014]}">
        <tpls c="1">
          <tpl fld="3" item="0"/>
        </tpls>
      </set>
      <set count="1" maxRank="1" setDefinition="{[Super_Store_data].[Region].&amp;[East]}">
        <tpls c="1">
          <tpl fld="4" item="0"/>
        </tpls>
      </set>
      <set count="1" maxRank="1" setDefinition="{[Super_Store_data].[Region].&amp;[South]}">
        <tpls c="1">
          <tpl fld="4" item="1"/>
        </tpls>
      </set>
      <set count="1" maxRank="1" setDefinition="{[Calendar].[Date (Year)].&amp;[2016]}">
        <tpls c="1">
          <tpl fld="3" item="1"/>
        </tpls>
      </set>
      <set count="1" maxRank="1" setDefinition="{[Calendar].[Date (Year)].&amp;[2015]}">
        <tpls c="1">
          <tpl fld="3" item="2"/>
        </tpls>
      </set>
      <set count="1" maxRank="1" setDefinition="{[Super_Store_data].[Region].&amp;[Central]}">
        <tpls c="1">
          <tpl fld="4" item="2"/>
        </tpls>
      </set>
      <set count="1" maxRank="1" setDefinition="{[Super_Store_data].[Region].&amp;[West]}">
        <tpls c="1">
          <tpl fld="4" item="3"/>
        </tpls>
      </set>
      <set count="1" maxRank="1" setDefinition="{[Calendar].[Date (Year)].&amp;[2017]}">
        <tpls c="1">
          <tpl fld="3" item="3"/>
        </tpls>
      </set>
    </sets>
    <queryCache count="53">
      <query mdx="[Super_Store_data].[State].&amp;[California]">
        <tpls c="1">
          <tpl fld="0" item="0"/>
        </tpls>
      </query>
      <query mdx="[Super_Store_data].[State].&amp;[Florida]">
        <tpls c="1">
          <tpl fld="0" item="1"/>
        </tpls>
      </query>
      <query mdx="[Super_Store_data].[State].&amp;[Alabama]">
        <tpls c="1">
          <tpl fld="0" item="2"/>
        </tpls>
      </query>
      <query mdx="[Super_Store_data].[State].&amp;[Maryland]">
        <tpls c="1">
          <tpl fld="0" item="3"/>
        </tpls>
      </query>
      <query mdx="[Super_Store_data].[State].&amp;[Tennessee]">
        <tpls c="1">
          <tpl fld="0" item="4"/>
        </tpls>
      </query>
      <query mdx="[Super_Store_data].[State].&amp;[Indiana]">
        <tpls c="1">
          <tpl fld="0" item="5"/>
        </tpls>
      </query>
      <query mdx="[Super_Store_data].[State].&amp;[Arkansas]">
        <tpls c="1">
          <tpl fld="0" item="6"/>
        </tpls>
      </query>
      <query mdx="[Super_Store_data].[State].&amp;[Minnesota]">
        <tpls c="1">
          <tpl fld="0" item="7"/>
        </tpls>
      </query>
      <query mdx="[Super_Store_data].[State].&amp;[Wisconsin]">
        <tpls c="1">
          <tpl fld="0" item="8"/>
        </tpls>
      </query>
      <query mdx="[Super_Store_data].[State].&amp;[Nevada]">
        <tpls c="1">
          <tpl fld="0" item="9"/>
        </tpls>
      </query>
      <query mdx="[Super_Store_data].[State].&amp;[Georgia]">
        <tpls c="1">
          <tpl fld="0" item="10"/>
        </tpls>
      </query>
      <query mdx="[Super_Store_data].[State].&amp;[Wyoming]">
        <tpls c="1">
          <tpl fld="0" item="11"/>
        </tpls>
      </query>
      <query mdx="[Super_Store_data].[State].&amp;[New Jersey]">
        <tpls c="1">
          <tpl fld="0" item="12"/>
        </tpls>
      </query>
      <query mdx="[Super_Store_data].[State].&amp;[New Mexico]">
        <tpls c="1">
          <tpl fld="0" item="13"/>
        </tpls>
      </query>
      <query mdx="[Super_Store_data].[State].&amp;[Massachusetts]">
        <tpls c="1">
          <tpl fld="0" item="14"/>
        </tpls>
      </query>
      <query mdx="[Super_Store_data].[State].&amp;[Oklahoma]">
        <tpls c="1">
          <tpl fld="0" item="15"/>
        </tpls>
      </query>
      <query mdx="[Super_Store_data].[State].&amp;[Texas]">
        <tpls c="1">
          <tpl fld="0" item="16"/>
        </tpls>
      </query>
      <query mdx="[Super_Store_data].[State].&amp;[New York]">
        <tpls c="1">
          <tpl fld="0" item="17"/>
        </tpls>
      </query>
      <query mdx="[Super_Store_data].[State].&amp;[Missouri]">
        <tpls c="1">
          <tpl fld="0" item="18"/>
        </tpls>
      </query>
      <query mdx="[Super_Store_data].[State].&amp;[Maine]">
        <tpls c="1">
          <tpl fld="0" item="19"/>
        </tpls>
      </query>
      <query mdx="[Super_Store_data].[State].&amp;[Mississippi]">
        <tpls c="1">
          <tpl fld="0" item="20"/>
        </tpls>
      </query>
      <query mdx="[Super_Store_data].[Sub-Category].&amp;[Bookcases]">
        <tpls c="1">
          <tpl fld="1" item="0"/>
        </tpls>
      </query>
      <query mdx="[Super_Store_data].[State].&amp;[Nebraska]">
        <tpls c="1">
          <tpl fld="0" item="21"/>
        </tpls>
      </query>
      <query mdx="[Super_Store_data].[State].&amp;[Washington]">
        <tpls c="1">
          <tpl fld="0" item="22"/>
        </tpls>
      </query>
      <query mdx="[Super_Store_data].[State].&amp;[Rhode Island]">
        <tpls c="1">
          <tpl fld="0" item="23"/>
        </tpls>
      </query>
      <query mdx="[Super_Store_data].[State].&amp;[Idaho]">
        <tpls c="1">
          <tpl fld="0" item="24"/>
        </tpls>
      </query>
      <query mdx="[Super_Store_data].[State].&amp;[Delaware]">
        <tpls c="1">
          <tpl fld="0" item="25"/>
        </tpls>
      </query>
      <query mdx="[Super_Store_data].[State].&amp;[Arizona]">
        <tpls c="1">
          <tpl fld="0" item="26"/>
        </tpls>
      </query>
      <query mdx="[Super_Store_data].[State].&amp;[Kentucky]">
        <tpls c="1">
          <tpl fld="0" item="27"/>
        </tpls>
      </query>
      <query mdx="[Super_Store_data].[State].&amp;[New Hampshire]">
        <tpls c="1">
          <tpl fld="0" item="28"/>
        </tpls>
      </query>
      <query mdx="[Super_Store_data].[State].&amp;[Illinois]">
        <tpls c="1">
          <tpl fld="0" item="29"/>
        </tpls>
      </query>
      <query mdx="[Super_Store_data].[State].&amp;[Oregon]">
        <tpls c="1">
          <tpl fld="0" item="30"/>
        </tpls>
      </query>
      <query mdx="[Super_Store_data].[State].&amp;[Connecticut]">
        <tpls c="1">
          <tpl fld="0" item="31"/>
        </tpls>
      </query>
      <query mdx="[Super_Store_data].[State].&amp;[Colorado]">
        <tpls c="1">
          <tpl fld="0" item="32"/>
        </tpls>
      </query>
      <query mdx="[Super_Store_data].[State].&amp;[Pennsylvania]">
        <tpls c="1">
          <tpl fld="0" item="33"/>
        </tpls>
      </query>
      <query mdx="[Super_Store_data].[State].&amp;[Montana]">
        <tpls c="1">
          <tpl fld="0" item="34"/>
        </tpls>
      </query>
      <query mdx="[Super_Store_data].[State].&amp;[West Virginia]">
        <tpls c="1">
          <tpl fld="0" item="35"/>
        </tpls>
      </query>
      <query mdx="[Super_Store_data].[Sub-Category].&amp;[Furnishings]">
        <tpls c="1">
          <tpl fld="1" item="1"/>
        </tpls>
      </query>
      <query mdx="[Measures].[Total Revenue]">
        <tpls c="1">
          <tpl fld="2" item="0"/>
        </tpls>
      </query>
      <query mdx="[Super_Store_data].[Sub-Category].&amp;[Tables]">
        <tpls c="1">
          <tpl fld="1" item="2"/>
        </tpls>
      </query>
      <query mdx="[Super_Store_data].[State].&amp;[Michigan]">
        <tpls c="1">
          <tpl fld="0" item="36"/>
        </tpls>
      </query>
      <query mdx="[Super_Store_data].[Sub-Category].&amp;[Chairs]">
        <tpls c="1">
          <tpl fld="1" item="3"/>
        </tpls>
      </query>
      <query mdx="[Super_Store_data].[State].&amp;[Louisiana]">
        <tpls c="1">
          <tpl fld="0" item="37"/>
        </tpls>
      </query>
      <query mdx="[Super_Store_data].[State].&amp;[Vermont]">
        <tpls c="1">
          <tpl fld="0" item="38"/>
        </tpls>
      </query>
      <query mdx="[Super_Store_data].[State].&amp;[District of Columbia]">
        <tpls c="1">
          <tpl fld="0" item="39"/>
        </tpls>
      </query>
      <query mdx="[Super_Store_data].[State].&amp;[South Dakota]">
        <tpls c="1">
          <tpl fld="0" item="40"/>
        </tpls>
      </query>
      <query mdx="[Super_Store_data].[State].&amp;[Virginia]">
        <tpls c="1">
          <tpl fld="0" item="41"/>
        </tpls>
      </query>
      <query mdx="[Super_Store_data].[State].&amp;[South Carolina]">
        <tpls c="1">
          <tpl fld="0" item="42"/>
        </tpls>
      </query>
      <query mdx="[Super_Store_data].[State].&amp;[Iowa]">
        <tpls c="1">
          <tpl fld="0" item="43"/>
        </tpls>
      </query>
      <query mdx="[Super_Store_data].[State].&amp;[Kansas]">
        <tpls c="1">
          <tpl fld="0" item="44"/>
        </tpls>
      </query>
      <query mdx="[Super_Store_data].[State].&amp;[Ohio]">
        <tpls c="1">
          <tpl fld="0" item="45"/>
        </tpls>
      </query>
      <query mdx="[Super_Store_data].[State].&amp;[North Carolina]">
        <tpls c="1">
          <tpl fld="0" item="46"/>
        </tpls>
      </query>
      <query mdx="[Super_Store_data].[State].&amp;[Utah]">
        <tpls c="1">
          <tpl fld="0" item="47"/>
        </tpls>
      </query>
    </queryCache>
    <serverFormats count="1">
      <serverFormat format="\$#,0;(\$#,0);\$#,0"/>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437847223" backgroundQuery="1" createdVersion="8" refreshedVersion="8" minRefreshableVersion="3" recordCount="0" supportSubquery="1" supportAdvancedDrill="1" xr:uid="{B6C0444C-96AB-4BBF-AF44-8282C29D5392}">
  <cacheSource type="external" connectionId="6"/>
  <cacheFields count="4">
    <cacheField name="[Super_Store_data].[Product Name].[Product Name]" caption="Product Name" numFmtId="0" hierarchy="32" level="1">
      <sharedItems count="20">
        <s v="Contemporary Borderless Frame"/>
        <s v="Document Clip Frames"/>
        <s v="Eldon 300 Class Desk Accessories, Black"/>
        <s v="Eldon Image Series Black Desk Accessories"/>
        <s v="Eldon Pizzaz Desk Accessories"/>
        <s v="Eldon Regeneration Recycled Desk Accessories, Black"/>
        <s v="Eldon Regeneration Recycled Desk Accessories, Smoke"/>
        <s v="GE General Purpose, Extra Long Life, Showcase &amp; Floodlight Incandescent Bulbs"/>
        <s v="Nu-Dell EZ-Mount Plastic Wall Frames"/>
        <s v="Regeneration Desk Collection"/>
        <s v="Bretford Rectangular Conference Table Tops" u="1"/>
        <s v="Bush Advantage Collection Racetrack Conference Table" u="1"/>
        <s v="Chromcraft Bull-Nose Wood Oval Conference Tables &amp; Bases" u="1"/>
        <s v="DMI Eclipse Executive Suite Bookcases" u="1"/>
        <s v="Global Troy Executive Leather Low-Back Tilter" u="1"/>
        <s v="GuestStacker Chair with Chrome Finish Legs" u="1"/>
        <s v="HON 5400 Series Task Chairs for Big and Tall" u="1"/>
        <s v="Hon Deluxe Fabric Upholstered Stacking Chairs, Rounded Back" u="1"/>
        <s v="Riverside Palais Royal Lawyers Bookcase, Royale Cherry Finish" u="1"/>
        <s v="SAFCO Arco Folding Chair" u="1"/>
      </sharedItems>
      <extLst>
        <ext xmlns:x15="http://schemas.microsoft.com/office/spreadsheetml/2010/11/main" uri="{4F2E5C28-24EA-4eb8-9CBF-B6C8F9C3D259}">
          <x15:cachedUniqueNames>
            <x15:cachedUniqueName index="0" name="[Super_Store_data].[Product Name].&amp;[Contemporary Borderless Frame]"/>
            <x15:cachedUniqueName index="1" name="[Super_Store_data].[Product Name].&amp;[Document Clip Frames]"/>
            <x15:cachedUniqueName index="2" name="[Super_Store_data].[Product Name].&amp;[Eldon 300 Class Desk Accessories, Black]"/>
            <x15:cachedUniqueName index="3" name="[Super_Store_data].[Product Name].&amp;[Eldon Image Series Black Desk Accessories]"/>
            <x15:cachedUniqueName index="4" name="[Super_Store_data].[Product Name].&amp;[Eldon Pizzaz Desk Accessories]"/>
            <x15:cachedUniqueName index="5" name="[Super_Store_data].[Product Name].&amp;[Eldon Regeneration Recycled Desk Accessories, Black]"/>
            <x15:cachedUniqueName index="6" name="[Super_Store_data].[Product Name].&amp;[Eldon Regeneration Recycled Desk Accessories, Smoke]"/>
            <x15:cachedUniqueName index="7" name="[Super_Store_data].[Product Name].&amp;[GE General Purpose, Extra Long Life, Showcase &amp; Floodlight Incandescent Bulbs]"/>
            <x15:cachedUniqueName index="8" name="[Super_Store_data].[Product Name].&amp;[Nu-Dell EZ-Mount Plastic Wall Frames]"/>
            <x15:cachedUniqueName index="9" name="[Super_Store_data].[Product Name].&amp;[Regeneration Desk Collection]"/>
            <x15:cachedUniqueName index="10" name="[Super_Store_data].[Product Name].&amp;[Bretford Rectangular Conference Table Tops]"/>
            <x15:cachedUniqueName index="11" name="[Super_Store_data].[Product Name].&amp;[Bush Advantage Collection Racetrack Conference Table]"/>
            <x15:cachedUniqueName index="12" name="[Super_Store_data].[Product Name].&amp;[Chromcraft Bull-Nose Wood Oval Conference Tables &amp; Bases]"/>
            <x15:cachedUniqueName index="13" name="[Super_Store_data].[Product Name].&amp;[DMI Eclipse Executive Suite Bookcases]"/>
            <x15:cachedUniqueName index="14" name="[Super_Store_data].[Product Name].&amp;[Global Troy Executive Leather Low-Back Tilter]"/>
            <x15:cachedUniqueName index="15" name="[Super_Store_data].[Product Name].&amp;[GuestStacker Chair with Chrome Finish Legs]"/>
            <x15:cachedUniqueName index="16" name="[Super_Store_data].[Product Name].&amp;[HON 5400 Series Task Chairs for Big and Tall]"/>
            <x15:cachedUniqueName index="17" name="[Super_Store_data].[Product Name].&amp;[Hon Deluxe Fabric Upholstered Stacking Chairs, Rounded Back]"/>
            <x15:cachedUniqueName index="18" name="[Super_Store_data].[Product Name].&amp;[Riverside Palais Royal Lawyers Bookcase, Royale Cherry Finish]"/>
            <x15:cachedUniqueName index="19" name="[Super_Store_data].[Product Name].&amp;[SAFCO Arco Folding Chair]"/>
          </x15:cachedUniqueNames>
        </ext>
      </extLst>
    </cacheField>
    <cacheField name="[View].[View].[View]" caption="View" numFmtId="0" hierarchy="41" level="1">
      <sharedItems containsSemiMixedTypes="0" containsNonDate="0" containsString="0"/>
    </cacheField>
    <cacheField name="[Calendar].[Date (Year)].[Date (Year)]" caption="Date (Year)" numFmtId="0" hierarchy="8" level="1">
      <sharedItems count="4">
        <s v="2014"/>
        <s v="2015"/>
        <s v="2016"/>
        <s v="2017"/>
      </sharedItems>
      <extLst>
        <ext xmlns:x15="http://schemas.microsoft.com/office/spreadsheetml/2010/11/main" uri="{4F2E5C28-24EA-4eb8-9CBF-B6C8F9C3D259}">
          <x15:cachedUniqueNames>
            <x15:cachedUniqueName index="0" name="[Calendar].[Date (Year)].&amp;[2014]"/>
            <x15:cachedUniqueName index="1" name="[Calendar].[Date (Year)].&amp;[2015]"/>
            <x15:cachedUniqueName index="2" name="[Calendar].[Date (Year)].&amp;[2016]"/>
            <x15:cachedUniqueName index="3" name="[Calendar].[Date (Year)].&amp;[2017]"/>
          </x15:cachedUniqueNames>
        </ext>
      </extLst>
    </cacheField>
    <cacheField name="[Measures].[#Number of Orders]" caption="#Number of Orders" numFmtId="0" hierarchy="79"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oneField="1">
      <fieldsUsage count="1">
        <fieldUsage x="3"/>
      </fieldsUsage>
    </cacheHierarchy>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459490737" backgroundQuery="1" createdVersion="8" refreshedVersion="8" minRefreshableVersion="3" recordCount="0" supportSubquery="1" supportAdvancedDrill="1" xr:uid="{38709854-4509-4A8E-910D-B3370074A001}">
  <cacheSource type="external" connectionId="6"/>
  <cacheFields count="5">
    <cacheField name="[Super_Store_data].[Product Name].[Product Name]" caption="Product Name" numFmtId="0" hierarchy="32" level="1">
      <sharedItems count="10">
        <s v="Bretford Rectangular Conference Table Tops"/>
        <s v="Bush Advantage Collection Racetrack Conference Table"/>
        <s v="Chromcraft Bull-Nose Wood Oval Conference Tables &amp; Bases"/>
        <s v="DMI Eclipse Executive Suite Bookcases"/>
        <s v="Global Troy Executive Leather Low-Back Tilter"/>
        <s v="GuestStacker Chair with Chrome Finish Legs"/>
        <s v="HON 5400 Series Task Chairs for Big and Tall"/>
        <s v="Hon Deluxe Fabric Upholstered Stacking Chairs, Rounded Back"/>
        <s v="Riverside Palais Royal Lawyers Bookcase, Royale Cherry Finish"/>
        <s v="SAFCO Arco Folding Chair"/>
      </sharedItems>
      <extLst>
        <ext xmlns:x15="http://schemas.microsoft.com/office/spreadsheetml/2010/11/main" uri="{4F2E5C28-24EA-4eb8-9CBF-B6C8F9C3D259}">
          <x15:cachedUniqueNames>
            <x15:cachedUniqueName index="0" name="[Super_Store_data].[Product Name].&amp;[Bretford Rectangular Conference Table Tops]"/>
            <x15:cachedUniqueName index="1" name="[Super_Store_data].[Product Name].&amp;[Bush Advantage Collection Racetrack Conference Table]"/>
            <x15:cachedUniqueName index="2" name="[Super_Store_data].[Product Name].&amp;[Chromcraft Bull-Nose Wood Oval Conference Tables &amp; Bases]"/>
            <x15:cachedUniqueName index="3" name="[Super_Store_data].[Product Name].&amp;[DMI Eclipse Executive Suite Bookcases]"/>
            <x15:cachedUniqueName index="4" name="[Super_Store_data].[Product Name].&amp;[Global Troy Executive Leather Low-Back Tilter]"/>
            <x15:cachedUniqueName index="5" name="[Super_Store_data].[Product Name].&amp;[GuestStacker Chair with Chrome Finish Legs]"/>
            <x15:cachedUniqueName index="6" name="[Super_Store_data].[Product Name].&amp;[HON 5400 Series Task Chairs for Big and Tall]"/>
            <x15:cachedUniqueName index="7" name="[Super_Store_data].[Product Name].&amp;[Hon Deluxe Fabric Upholstered Stacking Chairs, Rounded Back]"/>
            <x15:cachedUniqueName index="8" name="[Super_Store_data].[Product Name].&amp;[Riverside Palais Royal Lawyers Bookcase, Royale Cherry Finish]"/>
            <x15:cachedUniqueName index="9" name="[Super_Store_data].[Product Name].&amp;[SAFCO Arco Folding Chair]"/>
          </x15:cachedUniqueNames>
        </ext>
      </extLst>
    </cacheField>
    <cacheField name="[View].[View].[View]" caption="View" numFmtId="0" hierarchy="41" level="1">
      <sharedItems containsSemiMixedTypes="0" containsNonDate="0" containsString="0"/>
    </cacheField>
    <cacheField name="[Measures].[Performance_KPIs1]" caption="Performance_KPIs1" numFmtId="0" hierarchy="78" level="32767"/>
    <cacheField name="[Super_Store_data].[Customer Name].[Customer Name]" caption="Customer Name" numFmtId="0" hierarchy="22" level="1">
      <sharedItems count="10">
        <s v="Caroline Jumper"/>
        <s v="Greg Tran"/>
        <s v="Joe Elijah"/>
        <s v="Joel Eaton"/>
        <s v="Joseph Holt"/>
        <s v="Nora Preis"/>
        <s v="Peter Fuller"/>
        <s v="Seth Vernon"/>
        <s v="Tom Prescott"/>
        <s v="Tracy Blumstein"/>
      </sharedItems>
      <extLst>
        <ext xmlns:x15="http://schemas.microsoft.com/office/spreadsheetml/2010/11/main" uri="{4F2E5C28-24EA-4eb8-9CBF-B6C8F9C3D259}">
          <x15:cachedUniqueNames>
            <x15:cachedUniqueName index="0" name="[Super_Store_data].[Customer Name].&amp;[Caroline Jumper]"/>
            <x15:cachedUniqueName index="1" name="[Super_Store_data].[Customer Name].&amp;[Greg Tran]"/>
            <x15:cachedUniqueName index="2" name="[Super_Store_data].[Customer Name].&amp;[Joe Elijah]"/>
            <x15:cachedUniqueName index="3" name="[Super_Store_data].[Customer Name].&amp;[Joel Eaton]"/>
            <x15:cachedUniqueName index="4" name="[Super_Store_data].[Customer Name].&amp;[Joseph Holt]"/>
            <x15:cachedUniqueName index="5" name="[Super_Store_data].[Customer Name].&amp;[Nora Preis]"/>
            <x15:cachedUniqueName index="6" name="[Super_Store_data].[Customer Name].&amp;[Peter Fuller]"/>
            <x15:cachedUniqueName index="7" name="[Super_Store_data].[Customer Name].&amp;[Seth Vernon]"/>
            <x15:cachedUniqueName index="8" name="[Super_Store_data].[Customer Name].&amp;[Tom Prescott]"/>
            <x15:cachedUniqueName index="9" name="[Super_Store_data].[Customer Name].&amp;[Tracy Blumstein]"/>
          </x15:cachedUniqueNames>
        </ext>
      </extLst>
    </cacheField>
    <cacheField name="[Super_Store_data].[City].[City]" caption="City" numFmtId="0" hierarchy="25" level="1">
      <sharedItems count="10">
        <s v="Columbia"/>
        <s v="Columbus"/>
        <s v="Detroit"/>
        <s v="Henderson"/>
        <s v="Jackson"/>
        <s v="Los Angeles"/>
        <s v="New York City"/>
        <s v="San Francisco"/>
        <s v="Seattle"/>
        <s v="Springfield"/>
      </sharedItems>
      <extLst>
        <ext xmlns:x15="http://schemas.microsoft.com/office/spreadsheetml/2010/11/main" uri="{4F2E5C28-24EA-4eb8-9CBF-B6C8F9C3D259}">
          <x15:cachedUniqueNames>
            <x15:cachedUniqueName index="0" name="[Super_Store_data].[City].&amp;[Columbia]"/>
            <x15:cachedUniqueName index="1" name="[Super_Store_data].[City].&amp;[Columbus]"/>
            <x15:cachedUniqueName index="2" name="[Super_Store_data].[City].&amp;[Detroit]"/>
            <x15:cachedUniqueName index="3" name="[Super_Store_data].[City].&amp;[Henderson]"/>
            <x15:cachedUniqueName index="4" name="[Super_Store_data].[City].&amp;[Jackson]"/>
            <x15:cachedUniqueName index="5" name="[Super_Store_data].[City].&amp;[Los Angeles]"/>
            <x15:cachedUniqueName index="6" name="[Super_Store_data].[City].&amp;[New York City]"/>
            <x15:cachedUniqueName index="7" name="[Super_Store_data].[City].&amp;[San Francisco]"/>
            <x15:cachedUniqueName index="8" name="[Super_Store_data].[City].&amp;[Seattle]"/>
            <x15:cachedUniqueName index="9" name="[Super_Store_data].[City].&amp;[Springfield]"/>
          </x15:cachedUniqueNames>
        </ext>
      </extLst>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2" memberValueDatatype="130" unbalanced="0">
      <fieldsUsage count="2">
        <fieldUsage x="-1"/>
        <fieldUsage x="3"/>
      </fieldsUsage>
    </cacheHierarchy>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2" memberValueDatatype="130" unbalanced="0">
      <fieldsUsage count="2">
        <fieldUsage x="-1"/>
        <fieldUsage x="4"/>
      </fieldsUsage>
    </cacheHierarchy>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oneField="1">
      <fieldsUsage count="1">
        <fieldUsage x="2"/>
      </fieldsUsage>
    </cacheHierarchy>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468287035" backgroundQuery="1" createdVersion="8" refreshedVersion="8" minRefreshableVersion="3" recordCount="0" supportSubquery="1" supportAdvancedDrill="1" xr:uid="{83C31221-20D8-4F9A-B7ED-E37B76E33028}">
  <cacheSource type="external" connectionId="6"/>
  <cacheFields count="8">
    <cacheField name="[Super_Store_data].[Product Name].[Product Name]" caption="Product Name" numFmtId="0" hierarchy="32" level="1">
      <sharedItems count="10">
        <s v="Bretford Rectangular Conference Table Tops"/>
        <s v="Bush Advantage Collection Racetrack Conference Table"/>
        <s v="Chromcraft Bull-Nose Wood Oval Conference Tables &amp; Bases"/>
        <s v="DMI Eclipse Executive Suite Bookcases"/>
        <s v="Global Troy Executive Leather Low-Back Tilter"/>
        <s v="GuestStacker Chair with Chrome Finish Legs"/>
        <s v="HON 5400 Series Task Chairs for Big and Tall"/>
        <s v="Hon Deluxe Fabric Upholstered Stacking Chairs, Rounded Back"/>
        <s v="Riverside Palais Royal Lawyers Bookcase, Royale Cherry Finish"/>
        <s v="SAFCO Arco Folding Chair"/>
      </sharedItems>
      <extLst>
        <ext xmlns:x15="http://schemas.microsoft.com/office/spreadsheetml/2010/11/main" uri="{4F2E5C28-24EA-4eb8-9CBF-B6C8F9C3D259}">
          <x15:cachedUniqueNames>
            <x15:cachedUniqueName index="0" name="[Super_Store_data].[Product Name].&amp;[Bretford Rectangular Conference Table Tops]"/>
            <x15:cachedUniqueName index="1" name="[Super_Store_data].[Product Name].&amp;[Bush Advantage Collection Racetrack Conference Table]"/>
            <x15:cachedUniqueName index="2" name="[Super_Store_data].[Product Name].&amp;[Chromcraft Bull-Nose Wood Oval Conference Tables &amp; Bases]"/>
            <x15:cachedUniqueName index="3" name="[Super_Store_data].[Product Name].&amp;[DMI Eclipse Executive Suite Bookcases]"/>
            <x15:cachedUniqueName index="4" name="[Super_Store_data].[Product Name].&amp;[Global Troy Executive Leather Low-Back Tilter]"/>
            <x15:cachedUniqueName index="5" name="[Super_Store_data].[Product Name].&amp;[GuestStacker Chair with Chrome Finish Legs]"/>
            <x15:cachedUniqueName index="6" name="[Super_Store_data].[Product Name].&amp;[HON 5400 Series Task Chairs for Big and Tall]"/>
            <x15:cachedUniqueName index="7" name="[Super_Store_data].[Product Name].&amp;[Hon Deluxe Fabric Upholstered Stacking Chairs, Rounded Back]"/>
            <x15:cachedUniqueName index="8" name="[Super_Store_data].[Product Name].&amp;[Riverside Palais Royal Lawyers Bookcase, Royale Cherry Finish]"/>
            <x15:cachedUniqueName index="9" name="[Super_Store_data].[Product Name].&amp;[SAFCO Arco Folding Chair]"/>
          </x15:cachedUniqueNames>
        </ext>
      </extLst>
    </cacheField>
    <cacheField name="[View].[View].[View]" caption="View" numFmtId="0" hierarchy="41" level="1">
      <sharedItems containsSemiMixedTypes="0" containsNonDate="0" containsString="0"/>
    </cacheField>
    <cacheField name="[Super_Store_data].[Customer Name].[Customer Name]" caption="Customer Name" numFmtId="0" hierarchy="22" level="1">
      <sharedItems count="10">
        <s v="Anna HŠberlin"/>
        <s v="Arthur Gainer"/>
        <s v="Caroline Jumper"/>
        <s v="Emily Phan"/>
        <s v="Irene Maddox"/>
        <s v="Joel Eaton"/>
        <s v="Kelly Lampkin"/>
        <s v="Laura Armstrong"/>
        <s v="Lena Creighton"/>
        <s v="Seth Vernon"/>
      </sharedItems>
      <extLst>
        <ext xmlns:x15="http://schemas.microsoft.com/office/spreadsheetml/2010/11/main" uri="{4F2E5C28-24EA-4eb8-9CBF-B6C8F9C3D259}">
          <x15:cachedUniqueNames>
            <x15:cachedUniqueName index="0" name="[Super_Store_data].[Customer Name].&amp;[Anna HŠberlin]"/>
            <x15:cachedUniqueName index="1" name="[Super_Store_data].[Customer Name].&amp;[Arthur Gainer]"/>
            <x15:cachedUniqueName index="2" name="[Super_Store_data].[Customer Name].&amp;[Caroline Jumper]"/>
            <x15:cachedUniqueName index="3" name="[Super_Store_data].[Customer Name].&amp;[Emily Phan]"/>
            <x15:cachedUniqueName index="4" name="[Super_Store_data].[Customer Name].&amp;[Irene Maddox]"/>
            <x15:cachedUniqueName index="5" name="[Super_Store_data].[Customer Name].&amp;[Joel Eaton]"/>
            <x15:cachedUniqueName index="6" name="[Super_Store_data].[Customer Name].&amp;[Kelly Lampkin]"/>
            <x15:cachedUniqueName index="7" name="[Super_Store_data].[Customer Name].&amp;[Laura Armstrong]"/>
            <x15:cachedUniqueName index="8" name="[Super_Store_data].[Customer Name].&amp;[Lena Creighton]"/>
            <x15:cachedUniqueName index="9" name="[Super_Store_data].[Customer Name].&amp;[Seth Vernon]"/>
          </x15:cachedUniqueNames>
        </ext>
      </extLst>
    </cacheField>
    <cacheField name="[Calendar].[Date (Year)].[Date (Year)]" caption="Date (Year)" numFmtId="0" hierarchy="8" level="1">
      <sharedItems count="2">
        <s v="2015"/>
        <s v="2014" u="1"/>
      </sharedItems>
      <extLst>
        <ext xmlns:x15="http://schemas.microsoft.com/office/spreadsheetml/2010/11/main" uri="{4F2E5C28-24EA-4eb8-9CBF-B6C8F9C3D259}">
          <x15:cachedUniqueNames>
            <x15:cachedUniqueName index="0" name="[Calendar].[Date (Year)].&amp;[2015]"/>
            <x15:cachedUniqueName index="1" name="[Calendar].[Date (Year)].&amp;[2014]"/>
          </x15:cachedUniqueNames>
        </ext>
      </extLst>
    </cacheField>
    <cacheField name="[Measures].[Total Profit]" caption="Total Profit" numFmtId="0" hierarchy="52" level="32767"/>
    <cacheField name="[Measures].[Total Revenue]" caption="Total Revenue" numFmtId="0" hierarchy="87" level="32767"/>
    <cacheField name="[People].[Person].[Person]" caption="Person" numFmtId="0" hierarchy="12" level="1">
      <sharedItems count="4">
        <s v="Anna Andreadi"/>
        <s v="Cassandra Brandow"/>
        <s v="Chuck Magee"/>
        <s v="Kelly Williams"/>
      </sharedItems>
      <extLst>
        <ext xmlns:x15="http://schemas.microsoft.com/office/spreadsheetml/2010/11/main" uri="{4F2E5C28-24EA-4eb8-9CBF-B6C8F9C3D259}">
          <x15:cachedUniqueNames>
            <x15:cachedUniqueName index="0" name="[People].[Person].&amp;[Anna Andreadi]"/>
            <x15:cachedUniqueName index="1" name="[People].[Person].&amp;[Cassandra Brandow]"/>
            <x15:cachedUniqueName index="2" name="[People].[Person].&amp;[Chuck Magee]"/>
            <x15:cachedUniqueName index="3" name="[People].[Person].&amp;[Kelly Williams]"/>
          </x15:cachedUniqueNames>
        </ext>
      </extLst>
    </cacheField>
    <cacheField name="[Calendar].[Year].[Year]" caption="Year" numFmtId="0" hierarchy="1"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Calendar].[Year].&amp;[2014]"/>
            <x15:cachedUniqueName index="1" name="[Calendar].[Year].&amp;[2015]"/>
            <x15:cachedUniqueName index="2" name="[Calendar].[Year].&amp;[2016]"/>
            <x15:cachedUniqueName index="3" name="[Calendar].[Year].&amp;[2017]"/>
          </x15:cachedUniqueNames>
        </ext>
      </extLst>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fieldsUsage count="2">
        <fieldUsage x="-1"/>
        <fieldUsage x="7"/>
      </fieldsUsage>
    </cacheHierarchy>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3"/>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fieldsUsage count="2">
        <fieldUsage x="-1"/>
        <fieldUsage x="6"/>
      </fieldsUsage>
    </cacheHierarchy>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2" memberValueDatatype="130" unbalanced="0">
      <fieldsUsage count="2">
        <fieldUsage x="-1"/>
        <fieldUsage x="2"/>
      </fieldsUsage>
    </cacheHierarchy>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oneField="1">
      <fieldsUsage count="1">
        <fieldUsage x="4"/>
      </fieldsUsage>
    </cacheHierarchy>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oneField="1">
      <fieldsUsage count="1">
        <fieldUsage x="5"/>
      </fieldsUsage>
    </cacheHierarchy>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47673611" backgroundQuery="1" createdVersion="8" refreshedVersion="8" minRefreshableVersion="3" recordCount="0" supportSubquery="1" supportAdvancedDrill="1" xr:uid="{A6590460-C68D-476F-B909-4EA50543758E}">
  <cacheSource type="external" connectionId="6"/>
  <cacheFields count="4">
    <cacheField name="[Super_Store_data].[Product Name].[Product Name]" caption="Product Name" numFmtId="0" hierarchy="32" level="1">
      <sharedItems count="20">
        <s v="Contemporary Borderless Frame"/>
        <s v="Document Clip Frames"/>
        <s v="Eldon 300 Class Desk Accessories, Black"/>
        <s v="Eldon Image Series Black Desk Accessories"/>
        <s v="Eldon Pizzaz Desk Accessories"/>
        <s v="Eldon Regeneration Recycled Desk Accessories, Black"/>
        <s v="Eldon Regeneration Recycled Desk Accessories, Smoke"/>
        <s v="GE General Purpose, Extra Long Life, Showcase &amp; Floodlight Incandescent Bulbs"/>
        <s v="Nu-Dell EZ-Mount Plastic Wall Frames"/>
        <s v="Regeneration Desk Collection"/>
        <s v="Bretford Rectangular Conference Table Tops" u="1"/>
        <s v="Bush Advantage Collection Racetrack Conference Table" u="1"/>
        <s v="Chromcraft Bull-Nose Wood Oval Conference Tables &amp; Bases" u="1"/>
        <s v="DMI Eclipse Executive Suite Bookcases" u="1"/>
        <s v="Global Troy Executive Leather Low-Back Tilter" u="1"/>
        <s v="GuestStacker Chair with Chrome Finish Legs" u="1"/>
        <s v="HON 5400 Series Task Chairs for Big and Tall" u="1"/>
        <s v="Hon Deluxe Fabric Upholstered Stacking Chairs, Rounded Back" u="1"/>
        <s v="Riverside Palais Royal Lawyers Bookcase, Royale Cherry Finish" u="1"/>
        <s v="SAFCO Arco Folding Chair" u="1"/>
      </sharedItems>
      <extLst>
        <ext xmlns:x15="http://schemas.microsoft.com/office/spreadsheetml/2010/11/main" uri="{4F2E5C28-24EA-4eb8-9CBF-B6C8F9C3D259}">
          <x15:cachedUniqueNames>
            <x15:cachedUniqueName index="0" name="[Super_Store_data].[Product Name].&amp;[Contemporary Borderless Frame]"/>
            <x15:cachedUniqueName index="1" name="[Super_Store_data].[Product Name].&amp;[Document Clip Frames]"/>
            <x15:cachedUniqueName index="2" name="[Super_Store_data].[Product Name].&amp;[Eldon 300 Class Desk Accessories, Black]"/>
            <x15:cachedUniqueName index="3" name="[Super_Store_data].[Product Name].&amp;[Eldon Image Series Black Desk Accessories]"/>
            <x15:cachedUniqueName index="4" name="[Super_Store_data].[Product Name].&amp;[Eldon Pizzaz Desk Accessories]"/>
            <x15:cachedUniqueName index="5" name="[Super_Store_data].[Product Name].&amp;[Eldon Regeneration Recycled Desk Accessories, Black]"/>
            <x15:cachedUniqueName index="6" name="[Super_Store_data].[Product Name].&amp;[Eldon Regeneration Recycled Desk Accessories, Smoke]"/>
            <x15:cachedUniqueName index="7" name="[Super_Store_data].[Product Name].&amp;[GE General Purpose, Extra Long Life, Showcase &amp; Floodlight Incandescent Bulbs]"/>
            <x15:cachedUniqueName index="8" name="[Super_Store_data].[Product Name].&amp;[Nu-Dell EZ-Mount Plastic Wall Frames]"/>
            <x15:cachedUniqueName index="9" name="[Super_Store_data].[Product Name].&amp;[Regeneration Desk Collection]"/>
            <x15:cachedUniqueName index="10" name="[Super_Store_data].[Product Name].&amp;[Bretford Rectangular Conference Table Tops]"/>
            <x15:cachedUniqueName index="11" name="[Super_Store_data].[Product Name].&amp;[Bush Advantage Collection Racetrack Conference Table]"/>
            <x15:cachedUniqueName index="12" name="[Super_Store_data].[Product Name].&amp;[Chromcraft Bull-Nose Wood Oval Conference Tables &amp; Bases]"/>
            <x15:cachedUniqueName index="13" name="[Super_Store_data].[Product Name].&amp;[DMI Eclipse Executive Suite Bookcases]"/>
            <x15:cachedUniqueName index="14" name="[Super_Store_data].[Product Name].&amp;[Global Troy Executive Leather Low-Back Tilter]"/>
            <x15:cachedUniqueName index="15" name="[Super_Store_data].[Product Name].&amp;[GuestStacker Chair with Chrome Finish Legs]"/>
            <x15:cachedUniqueName index="16" name="[Super_Store_data].[Product Name].&amp;[HON 5400 Series Task Chairs for Big and Tall]"/>
            <x15:cachedUniqueName index="17" name="[Super_Store_data].[Product Name].&amp;[Hon Deluxe Fabric Upholstered Stacking Chairs, Rounded Back]"/>
            <x15:cachedUniqueName index="18" name="[Super_Store_data].[Product Name].&amp;[Riverside Palais Royal Lawyers Bookcase, Royale Cherry Finish]"/>
            <x15:cachedUniqueName index="19" name="[Super_Store_data].[Product Name].&amp;[SAFCO Arco Folding Chair]"/>
          </x15:cachedUniqueNames>
        </ext>
      </extLst>
    </cacheField>
    <cacheField name="[View].[View].[View]" caption="View" numFmtId="0" hierarchy="41" level="1">
      <sharedItems containsSemiMixedTypes="0" containsNonDate="0" containsString="0"/>
    </cacheField>
    <cacheField name="[Calendar].[Date (Year)].[Date (Year)]" caption="Date (Year)" numFmtId="0" hierarchy="8" level="1">
      <sharedItems count="4">
        <s v="2014"/>
        <s v="2015"/>
        <s v="2016"/>
        <s v="2017"/>
      </sharedItems>
      <extLst>
        <ext xmlns:x15="http://schemas.microsoft.com/office/spreadsheetml/2010/11/main" uri="{4F2E5C28-24EA-4eb8-9CBF-B6C8F9C3D259}">
          <x15:cachedUniqueNames>
            <x15:cachedUniqueName index="0" name="[Calendar].[Date (Year)].&amp;[2014]"/>
            <x15:cachedUniqueName index="1" name="[Calendar].[Date (Year)].&amp;[2015]"/>
            <x15:cachedUniqueName index="2" name="[Calendar].[Date (Year)].&amp;[2016]"/>
            <x15:cachedUniqueName index="3" name="[Calendar].[Date (Year)].&amp;[2017]"/>
          </x15:cachedUniqueNames>
        </ext>
      </extLst>
    </cacheField>
    <cacheField name="[Measures].[#Number of Cities]" caption="#Number of Cities" numFmtId="0" hierarchy="86"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oneField="1">
      <fieldsUsage count="1">
        <fieldUsage x="3"/>
      </fieldsUsage>
    </cacheHierarchy>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485532408" backgroundQuery="1" createdVersion="8" refreshedVersion="8" minRefreshableVersion="3" recordCount="0" supportSubquery="1" supportAdvancedDrill="1" xr:uid="{426F213C-195F-49EB-8BB2-BE258E44AA79}">
  <cacheSource type="external" connectionId="6"/>
  <cacheFields count="5">
    <cacheField name="[Super_Store_data].[Product Name].[Product Name]" caption="Product Name" numFmtId="0" hierarchy="32" level="1">
      <sharedItems count="20">
        <s v="Contemporary Borderless Frame"/>
        <s v="Document Clip Frames"/>
        <s v="Eldon 300 Class Desk Accessories, Black"/>
        <s v="Eldon Image Series Black Desk Accessories"/>
        <s v="Eldon Pizzaz Desk Accessories"/>
        <s v="Eldon Regeneration Recycled Desk Accessories, Black"/>
        <s v="Eldon Regeneration Recycled Desk Accessories, Smoke"/>
        <s v="GE General Purpose, Extra Long Life, Showcase &amp; Floodlight Incandescent Bulbs"/>
        <s v="Nu-Dell EZ-Mount Plastic Wall Frames"/>
        <s v="Regeneration Desk Collection"/>
        <s v="Bretford Rectangular Conference Table Tops" u="1"/>
        <s v="Bush Advantage Collection Racetrack Conference Table" u="1"/>
        <s v="Chromcraft Bull-Nose Wood Oval Conference Tables &amp; Bases" u="1"/>
        <s v="DMI Eclipse Executive Suite Bookcases" u="1"/>
        <s v="Global Troy Executive Leather Low-Back Tilter" u="1"/>
        <s v="GuestStacker Chair with Chrome Finish Legs" u="1"/>
        <s v="HON 5400 Series Task Chairs for Big and Tall" u="1"/>
        <s v="Hon Deluxe Fabric Upholstered Stacking Chairs, Rounded Back" u="1"/>
        <s v="Riverside Palais Royal Lawyers Bookcase, Royale Cherry Finish" u="1"/>
        <s v="SAFCO Arco Folding Chair" u="1"/>
      </sharedItems>
      <extLst>
        <ext xmlns:x15="http://schemas.microsoft.com/office/spreadsheetml/2010/11/main" uri="{4F2E5C28-24EA-4eb8-9CBF-B6C8F9C3D259}">
          <x15:cachedUniqueNames>
            <x15:cachedUniqueName index="0" name="[Super_Store_data].[Product Name].&amp;[Contemporary Borderless Frame]"/>
            <x15:cachedUniqueName index="1" name="[Super_Store_data].[Product Name].&amp;[Document Clip Frames]"/>
            <x15:cachedUniqueName index="2" name="[Super_Store_data].[Product Name].&amp;[Eldon 300 Class Desk Accessories, Black]"/>
            <x15:cachedUniqueName index="3" name="[Super_Store_data].[Product Name].&amp;[Eldon Image Series Black Desk Accessories]"/>
            <x15:cachedUniqueName index="4" name="[Super_Store_data].[Product Name].&amp;[Eldon Pizzaz Desk Accessories]"/>
            <x15:cachedUniqueName index="5" name="[Super_Store_data].[Product Name].&amp;[Eldon Regeneration Recycled Desk Accessories, Black]"/>
            <x15:cachedUniqueName index="6" name="[Super_Store_data].[Product Name].&amp;[Eldon Regeneration Recycled Desk Accessories, Smoke]"/>
            <x15:cachedUniqueName index="7" name="[Super_Store_data].[Product Name].&amp;[GE General Purpose, Extra Long Life, Showcase &amp; Floodlight Incandescent Bulbs]"/>
            <x15:cachedUniqueName index="8" name="[Super_Store_data].[Product Name].&amp;[Nu-Dell EZ-Mount Plastic Wall Frames]"/>
            <x15:cachedUniqueName index="9" name="[Super_Store_data].[Product Name].&amp;[Regeneration Desk Collection]"/>
            <x15:cachedUniqueName index="10" name="[Super_Store_data].[Product Name].&amp;[Bretford Rectangular Conference Table Tops]"/>
            <x15:cachedUniqueName index="11" name="[Super_Store_data].[Product Name].&amp;[Bush Advantage Collection Racetrack Conference Table]"/>
            <x15:cachedUniqueName index="12" name="[Super_Store_data].[Product Name].&amp;[Chromcraft Bull-Nose Wood Oval Conference Tables &amp; Bases]"/>
            <x15:cachedUniqueName index="13" name="[Super_Store_data].[Product Name].&amp;[DMI Eclipse Executive Suite Bookcases]"/>
            <x15:cachedUniqueName index="14" name="[Super_Store_data].[Product Name].&amp;[Global Troy Executive Leather Low-Back Tilter]"/>
            <x15:cachedUniqueName index="15" name="[Super_Store_data].[Product Name].&amp;[GuestStacker Chair with Chrome Finish Legs]"/>
            <x15:cachedUniqueName index="16" name="[Super_Store_data].[Product Name].&amp;[HON 5400 Series Task Chairs for Big and Tall]"/>
            <x15:cachedUniqueName index="17" name="[Super_Store_data].[Product Name].&amp;[Hon Deluxe Fabric Upholstered Stacking Chairs, Rounded Back]"/>
            <x15:cachedUniqueName index="18" name="[Super_Store_data].[Product Name].&amp;[Riverside Palais Royal Lawyers Bookcase, Royale Cherry Finish]"/>
            <x15:cachedUniqueName index="19" name="[Super_Store_data].[Product Name].&amp;[SAFCO Arco Folding Chair]"/>
          </x15:cachedUniqueNames>
        </ext>
      </extLst>
    </cacheField>
    <cacheField name="[View].[View].[View]" caption="View" numFmtId="0" hierarchy="41" level="1">
      <sharedItems containsSemiMixedTypes="0" containsNonDate="0" containsString="0"/>
    </cacheField>
    <cacheField name="[Calendar].[Year].[Year]" caption="Year" numFmtId="0" hierarchy="1" level="1">
      <sharedItems containsSemiMixedTypes="0" containsString="0" containsNumber="1" containsInteger="1" minValue="2014" maxValue="2017" count="4">
        <n v="2014"/>
        <n v="2015"/>
        <n v="2016"/>
        <n v="2017"/>
      </sharedItems>
      <extLst>
        <ext xmlns:x15="http://schemas.microsoft.com/office/spreadsheetml/2010/11/main" uri="{4F2E5C28-24EA-4eb8-9CBF-B6C8F9C3D259}">
          <x15:cachedUniqueNames>
            <x15:cachedUniqueName index="0" name="[Calendar].[Year].&amp;[2014]"/>
            <x15:cachedUniqueName index="1" name="[Calendar].[Year].&amp;[2015]"/>
            <x15:cachedUniqueName index="2" name="[Calendar].[Year].&amp;[2016]"/>
            <x15:cachedUniqueName index="3" name="[Calendar].[Year].&amp;[2017]"/>
          </x15:cachedUniqueNames>
        </ext>
      </extLst>
    </cacheField>
    <cacheField name="[Measures].[#Number of Customers]" caption="#Number of Customers" numFmtId="0" hierarchy="81" level="32767"/>
    <cacheField name="[Super_Store_data].[Segment].[Segment]" caption="Segment" numFmtId="0" hierarchy="23" level="1">
      <sharedItems count="3">
        <s v="Consumer"/>
        <s v="Corporate"/>
        <s v="Home Office"/>
      </sharedItems>
      <extLst>
        <ext xmlns:x15="http://schemas.microsoft.com/office/spreadsheetml/2010/11/main" uri="{4F2E5C28-24EA-4eb8-9CBF-B6C8F9C3D259}">
          <x15:cachedUniqueNames>
            <x15:cachedUniqueName index="0" name="[Super_Store_data].[Segment].&amp;[Consumer]"/>
            <x15:cachedUniqueName index="1" name="[Super_Store_data].[Segment].&amp;[Corporate]"/>
            <x15:cachedUniqueName index="2" name="[Super_Store_data].[Segment].&amp;[Home Office]"/>
          </x15:cachedUniqueNames>
        </ext>
      </extLst>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fieldsUsage count="2">
        <fieldUsage x="-1"/>
        <fieldUsage x="2"/>
      </fieldsUsage>
    </cacheHierarchy>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2" memberValueDatatype="130" unbalanced="0">
      <fieldsUsage count="2">
        <fieldUsage x="-1"/>
        <fieldUsage x="4"/>
      </fieldsUsage>
    </cacheHierarchy>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oneField="1">
      <fieldsUsage count="1">
        <fieldUsage x="3"/>
      </fieldsUsage>
    </cacheHierarchy>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49421296" backgroundQuery="1" createdVersion="8" refreshedVersion="8" minRefreshableVersion="3" recordCount="0" supportSubquery="1" supportAdvancedDrill="1" xr:uid="{1CC11420-15B8-4165-8D74-706B3A7ACA12}">
  <cacheSource type="external" connectionId="6"/>
  <cacheFields count="4">
    <cacheField name="[Super_Store_data].[Product Name].[Product Name]" caption="Product Name" numFmtId="0" hierarchy="32" level="1">
      <sharedItems count="20">
        <s v="Contemporary Borderless Frame"/>
        <s v="Document Clip Frames"/>
        <s v="Eldon 300 Class Desk Accessories, Black"/>
        <s v="Eldon Image Series Black Desk Accessories"/>
        <s v="Eldon Pizzaz Desk Accessories"/>
        <s v="Eldon Regeneration Recycled Desk Accessories, Black"/>
        <s v="Eldon Regeneration Recycled Desk Accessories, Smoke"/>
        <s v="GE General Purpose, Extra Long Life, Showcase &amp; Floodlight Incandescent Bulbs"/>
        <s v="Nu-Dell EZ-Mount Plastic Wall Frames"/>
        <s v="Regeneration Desk Collection"/>
        <s v="Bretford Rectangular Conference Table Tops" u="1"/>
        <s v="Bush Advantage Collection Racetrack Conference Table" u="1"/>
        <s v="Chromcraft Bull-Nose Wood Oval Conference Tables &amp; Bases" u="1"/>
        <s v="DMI Eclipse Executive Suite Bookcases" u="1"/>
        <s v="Global Troy Executive Leather Low-Back Tilter" u="1"/>
        <s v="GuestStacker Chair with Chrome Finish Legs" u="1"/>
        <s v="HON 5400 Series Task Chairs for Big and Tall" u="1"/>
        <s v="Hon Deluxe Fabric Upholstered Stacking Chairs, Rounded Back" u="1"/>
        <s v="Riverside Palais Royal Lawyers Bookcase, Royale Cherry Finish" u="1"/>
        <s v="SAFCO Arco Folding Chair" u="1"/>
      </sharedItems>
      <extLst>
        <ext xmlns:x15="http://schemas.microsoft.com/office/spreadsheetml/2010/11/main" uri="{4F2E5C28-24EA-4eb8-9CBF-B6C8F9C3D259}">
          <x15:cachedUniqueNames>
            <x15:cachedUniqueName index="0" name="[Super_Store_data].[Product Name].&amp;[Contemporary Borderless Frame]"/>
            <x15:cachedUniqueName index="1" name="[Super_Store_data].[Product Name].&amp;[Document Clip Frames]"/>
            <x15:cachedUniqueName index="2" name="[Super_Store_data].[Product Name].&amp;[Eldon 300 Class Desk Accessories, Black]"/>
            <x15:cachedUniqueName index="3" name="[Super_Store_data].[Product Name].&amp;[Eldon Image Series Black Desk Accessories]"/>
            <x15:cachedUniqueName index="4" name="[Super_Store_data].[Product Name].&amp;[Eldon Pizzaz Desk Accessories]"/>
            <x15:cachedUniqueName index="5" name="[Super_Store_data].[Product Name].&amp;[Eldon Regeneration Recycled Desk Accessories, Black]"/>
            <x15:cachedUniqueName index="6" name="[Super_Store_data].[Product Name].&amp;[Eldon Regeneration Recycled Desk Accessories, Smoke]"/>
            <x15:cachedUniqueName index="7" name="[Super_Store_data].[Product Name].&amp;[GE General Purpose, Extra Long Life, Showcase &amp; Floodlight Incandescent Bulbs]"/>
            <x15:cachedUniqueName index="8" name="[Super_Store_data].[Product Name].&amp;[Nu-Dell EZ-Mount Plastic Wall Frames]"/>
            <x15:cachedUniqueName index="9" name="[Super_Store_data].[Product Name].&amp;[Regeneration Desk Collection]"/>
            <x15:cachedUniqueName index="10" name="[Super_Store_data].[Product Name].&amp;[Bretford Rectangular Conference Table Tops]"/>
            <x15:cachedUniqueName index="11" name="[Super_Store_data].[Product Name].&amp;[Bush Advantage Collection Racetrack Conference Table]"/>
            <x15:cachedUniqueName index="12" name="[Super_Store_data].[Product Name].&amp;[Chromcraft Bull-Nose Wood Oval Conference Tables &amp; Bases]"/>
            <x15:cachedUniqueName index="13" name="[Super_Store_data].[Product Name].&amp;[DMI Eclipse Executive Suite Bookcases]"/>
            <x15:cachedUniqueName index="14" name="[Super_Store_data].[Product Name].&amp;[Global Troy Executive Leather Low-Back Tilter]"/>
            <x15:cachedUniqueName index="15" name="[Super_Store_data].[Product Name].&amp;[GuestStacker Chair with Chrome Finish Legs]"/>
            <x15:cachedUniqueName index="16" name="[Super_Store_data].[Product Name].&amp;[HON 5400 Series Task Chairs for Big and Tall]"/>
            <x15:cachedUniqueName index="17" name="[Super_Store_data].[Product Name].&amp;[Hon Deluxe Fabric Upholstered Stacking Chairs, Rounded Back]"/>
            <x15:cachedUniqueName index="18" name="[Super_Store_data].[Product Name].&amp;[Riverside Palais Royal Lawyers Bookcase, Royale Cherry Finish]"/>
            <x15:cachedUniqueName index="19" name="[Super_Store_data].[Product Name].&amp;[SAFCO Arco Folding Chair]"/>
          </x15:cachedUniqueNames>
        </ext>
      </extLst>
    </cacheField>
    <cacheField name="[View].[View].[View]" caption="View" numFmtId="0" hierarchy="41" level="1">
      <sharedItems containsSemiMixedTypes="0" containsNonDate="0" containsString="0"/>
    </cacheField>
    <cacheField name="[Super_Store_data].[Segment].[Segment]" caption="Segment" numFmtId="0" hierarchy="23" level="1">
      <sharedItems count="3">
        <s v="Consumer"/>
        <s v="Corporate"/>
        <s v="Home Office"/>
      </sharedItems>
      <extLst>
        <ext xmlns:x15="http://schemas.microsoft.com/office/spreadsheetml/2010/11/main" uri="{4F2E5C28-24EA-4eb8-9CBF-B6C8F9C3D259}">
          <x15:cachedUniqueNames>
            <x15:cachedUniqueName index="0" name="[Super_Store_data].[Segment].&amp;[Consumer]"/>
            <x15:cachedUniqueName index="1" name="[Super_Store_data].[Segment].&amp;[Corporate]"/>
            <x15:cachedUniqueName index="2" name="[Super_Store_data].[Segment].&amp;[Home Office]"/>
          </x15:cachedUniqueNames>
        </ext>
      </extLst>
    </cacheField>
    <cacheField name="[Measures].[KPIsProfit]" caption="KPIsProfit" numFmtId="0" hierarchy="73"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2" memberValueDatatype="130" unbalanced="0">
      <fieldsUsage count="2">
        <fieldUsage x="-1"/>
        <fieldUsage x="2"/>
      </fieldsUsage>
    </cacheHierarchy>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oneField="1">
      <fieldsUsage count="1">
        <fieldUsage x="3"/>
      </fieldsUsage>
    </cacheHierarchy>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503240743" backgroundQuery="1" createdVersion="8" refreshedVersion="8" minRefreshableVersion="3" recordCount="0" supportSubquery="1" supportAdvancedDrill="1" xr:uid="{AD87459F-0824-4528-8609-3B783102E94E}">
  <cacheSource type="external" connectionId="6"/>
  <cacheFields count="4">
    <cacheField name="[Super_Store_data].[Product Name].[Product Name]" caption="Product Name" numFmtId="0" hierarchy="32" level="1">
      <sharedItems count="20">
        <s v="Contemporary Borderless Frame"/>
        <s v="Document Clip Frames"/>
        <s v="Eldon 300 Class Desk Accessories, Black"/>
        <s v="Eldon Image Series Black Desk Accessories"/>
        <s v="Eldon Pizzaz Desk Accessories"/>
        <s v="Eldon Regeneration Recycled Desk Accessories, Black"/>
        <s v="Eldon Regeneration Recycled Desk Accessories, Smoke"/>
        <s v="GE General Purpose, Extra Long Life, Showcase &amp; Floodlight Incandescent Bulbs"/>
        <s v="Nu-Dell EZ-Mount Plastic Wall Frames"/>
        <s v="Regeneration Desk Collection"/>
        <s v="Bretford Rectangular Conference Table Tops" u="1"/>
        <s v="Bush Advantage Collection Racetrack Conference Table" u="1"/>
        <s v="Chromcraft Bull-Nose Wood Oval Conference Tables &amp; Bases" u="1"/>
        <s v="DMI Eclipse Executive Suite Bookcases" u="1"/>
        <s v="Global Troy Executive Leather Low-Back Tilter" u="1"/>
        <s v="GuestStacker Chair with Chrome Finish Legs" u="1"/>
        <s v="HON 5400 Series Task Chairs for Big and Tall" u="1"/>
        <s v="Hon Deluxe Fabric Upholstered Stacking Chairs, Rounded Back" u="1"/>
        <s v="Riverside Palais Royal Lawyers Bookcase, Royale Cherry Finish" u="1"/>
        <s v="SAFCO Arco Folding Chair" u="1"/>
      </sharedItems>
      <extLst>
        <ext xmlns:x15="http://schemas.microsoft.com/office/spreadsheetml/2010/11/main" uri="{4F2E5C28-24EA-4eb8-9CBF-B6C8F9C3D259}">
          <x15:cachedUniqueNames>
            <x15:cachedUniqueName index="0" name="[Super_Store_data].[Product Name].&amp;[Contemporary Borderless Frame]"/>
            <x15:cachedUniqueName index="1" name="[Super_Store_data].[Product Name].&amp;[Document Clip Frames]"/>
            <x15:cachedUniqueName index="2" name="[Super_Store_data].[Product Name].&amp;[Eldon 300 Class Desk Accessories, Black]"/>
            <x15:cachedUniqueName index="3" name="[Super_Store_data].[Product Name].&amp;[Eldon Image Series Black Desk Accessories]"/>
            <x15:cachedUniqueName index="4" name="[Super_Store_data].[Product Name].&amp;[Eldon Pizzaz Desk Accessories]"/>
            <x15:cachedUniqueName index="5" name="[Super_Store_data].[Product Name].&amp;[Eldon Regeneration Recycled Desk Accessories, Black]"/>
            <x15:cachedUniqueName index="6" name="[Super_Store_data].[Product Name].&amp;[Eldon Regeneration Recycled Desk Accessories, Smoke]"/>
            <x15:cachedUniqueName index="7" name="[Super_Store_data].[Product Name].&amp;[GE General Purpose, Extra Long Life, Showcase &amp; Floodlight Incandescent Bulbs]"/>
            <x15:cachedUniqueName index="8" name="[Super_Store_data].[Product Name].&amp;[Nu-Dell EZ-Mount Plastic Wall Frames]"/>
            <x15:cachedUniqueName index="9" name="[Super_Store_data].[Product Name].&amp;[Regeneration Desk Collection]"/>
            <x15:cachedUniqueName index="10" name="[Super_Store_data].[Product Name].&amp;[Bretford Rectangular Conference Table Tops]"/>
            <x15:cachedUniqueName index="11" name="[Super_Store_data].[Product Name].&amp;[Bush Advantage Collection Racetrack Conference Table]"/>
            <x15:cachedUniqueName index="12" name="[Super_Store_data].[Product Name].&amp;[Chromcraft Bull-Nose Wood Oval Conference Tables &amp; Bases]"/>
            <x15:cachedUniqueName index="13" name="[Super_Store_data].[Product Name].&amp;[DMI Eclipse Executive Suite Bookcases]"/>
            <x15:cachedUniqueName index="14" name="[Super_Store_data].[Product Name].&amp;[Global Troy Executive Leather Low-Back Tilter]"/>
            <x15:cachedUniqueName index="15" name="[Super_Store_data].[Product Name].&amp;[GuestStacker Chair with Chrome Finish Legs]"/>
            <x15:cachedUniqueName index="16" name="[Super_Store_data].[Product Name].&amp;[HON 5400 Series Task Chairs for Big and Tall]"/>
            <x15:cachedUniqueName index="17" name="[Super_Store_data].[Product Name].&amp;[Hon Deluxe Fabric Upholstered Stacking Chairs, Rounded Back]"/>
            <x15:cachedUniqueName index="18" name="[Super_Store_data].[Product Name].&amp;[Riverside Palais Royal Lawyers Bookcase, Royale Cherry Finish]"/>
            <x15:cachedUniqueName index="19" name="[Super_Store_data].[Product Name].&amp;[SAFCO Arco Folding Chair]"/>
          </x15:cachedUniqueNames>
        </ext>
      </extLst>
    </cacheField>
    <cacheField name="[View].[View].[View]" caption="View" numFmtId="0" hierarchy="41" level="1">
      <sharedItems containsSemiMixedTypes="0" containsNonDate="0" containsString="0"/>
    </cacheField>
    <cacheField name="[Measures].[KPIsProfit]" caption="KPIsProfit" numFmtId="0" hierarchy="73" level="32767"/>
    <cacheField name="[Super_Store_data].[Sub-Category].[Sub-Category]" caption="Sub-Category" numFmtId="0" hierarchy="31" level="1">
      <sharedItems count="4">
        <s v="Bookcases"/>
        <s v="Chairs"/>
        <s v="Furnishings"/>
        <s v="Tables"/>
      </sharedItems>
      <extLst>
        <ext xmlns:x15="http://schemas.microsoft.com/office/spreadsheetml/2010/11/main" uri="{4F2E5C28-24EA-4eb8-9CBF-B6C8F9C3D259}">
          <x15:cachedUniqueNames>
            <x15:cachedUniqueName index="0" name="[Super_Store_data].[Sub-Category].&amp;[Bookcases]"/>
            <x15:cachedUniqueName index="1" name="[Super_Store_data].[Sub-Category].&amp;[Chairs]"/>
            <x15:cachedUniqueName index="2" name="[Super_Store_data].[Sub-Category].&amp;[Furnishings]"/>
            <x15:cachedUniqueName index="3" name="[Super_Store_data].[Sub-Category].&amp;[Tables]"/>
          </x15:cachedUniqueNames>
        </ext>
      </extLst>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2" memberValueDatatype="130" unbalanced="0">
      <fieldsUsage count="2">
        <fieldUsage x="-1"/>
        <fieldUsage x="3"/>
      </fieldsUsage>
    </cacheHierarchy>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oneField="1">
      <fieldsUsage count="1">
        <fieldUsage x="2"/>
      </fieldsUsage>
    </cacheHierarchy>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51215278" backgroundQuery="1" createdVersion="8" refreshedVersion="8" minRefreshableVersion="3" recordCount="0" supportSubquery="1" supportAdvancedDrill="1" xr:uid="{F6A7EDEA-F313-4F23-A030-F3CB68F7AF25}">
  <cacheSource type="external" connectionId="6"/>
  <cacheFields count="4">
    <cacheField name="[View].[View].[View]" caption="View" numFmtId="0" hierarchy="41" level="1">
      <sharedItems containsSemiMixedTypes="0" containsNonDate="0" containsString="0"/>
    </cacheField>
    <cacheField name="[Calendar].[Date (Year)].[Date (Year)]" caption="Date (Year)" numFmtId="0" hierarchy="8" level="1">
      <sharedItems count="2">
        <s v="2015"/>
        <s v="2014" u="1"/>
      </sharedItems>
      <extLst>
        <ext xmlns:x15="http://schemas.microsoft.com/office/spreadsheetml/2010/11/main" uri="{4F2E5C28-24EA-4eb8-9CBF-B6C8F9C3D259}">
          <x15:cachedUniqueNames>
            <x15:cachedUniqueName index="0" name="[Calendar].[Date (Year)].&amp;[2015]"/>
            <x15:cachedUniqueName index="1" name="[Calendar].[Date (Year)].&amp;[2014]"/>
          </x15:cachedUniqueNames>
        </ext>
      </extLst>
    </cacheField>
    <cacheField name="[Super_Store_data].[Product Name].[Product Name]" caption="Product Name" numFmtId="0" hierarchy="32" level="1">
      <sharedItems count="380">
        <s v="12-1/2 Diameter Round Wall Clock"/>
        <s v="24-Hour Round Wall Clock"/>
        <s v="36X48 HARDFLOOR CHAIRMAT"/>
        <s v="3M Hangers With Command Adhesive"/>
        <s v="3M Polarizing Light Filter Sleeves"/>
        <s v="3M Polarizing Task Lamp with Clamp Arm, Light Gray"/>
        <s v="6&quot; Cubicle Wall Clock, Black"/>
        <s v="9-3/4 Diameter Round Wall Clock"/>
        <s v="Acrylic Self-Standing Desk Frames"/>
        <s v="Advantus Employee of the Month Certificate Frame, 11 x 13-1/2"/>
        <s v="Advantus Panel Wall Acrylic Frame"/>
        <s v="Advantus Panel Wall Certificate Holder - 8.5x11"/>
        <s v="Aluminum Document Frame"/>
        <s v="Anderson Hickey Conga Table Tops &amp; Accessories"/>
        <s v="Artistic Insta-Plaque"/>
        <s v="Atlantic Metals Mobile 2-Shelf Bookcases, Custom Colors"/>
        <s v="Atlantic Metals Mobile 3-Shelf Bookcases, Custom Colors"/>
        <s v="Atlantic Metals Mobile 4-Shelf Bookcases, Custom Colors"/>
        <s v="Atlantic Metals Mobile 5-Shelf Bookcases, Custom Colors"/>
        <s v="Balt Solid Wood Rectangular Table"/>
        <s v="Balt Solid Wood Round Tables"/>
        <s v="Balt Split Level Computer Training Table"/>
        <s v="Barricks 18&quot; x 48&quot; Non-Folding Utility Table with Bottom Storage Shelf"/>
        <s v="Barricks Non-Folding Utility Table with Steel Legs, Laminate Tops"/>
        <s v="Bestar Classic Bookcase"/>
        <s v="Bevis 36 x 72 Conference Tables"/>
        <s v="Bevis 44 x 96 Conference Tables"/>
        <s v="Bevis Boat-Shaped Conference Table"/>
        <s v="Bevis Oval Conference Table, Walnut"/>
        <s v="Bevis Rectangular Conference Tables"/>
        <s v="Bevis Round Bullnose 29&quot; High Table Top"/>
        <s v="Bevis Round Conference Room Tables and Bases"/>
        <s v="Bevis Round Conference Table Top &amp; Single Column Base"/>
        <s v="Bevis Round Conference Table Top, X-Base"/>
        <s v="Bevis Steel Folding Chairs"/>
        <s v="Bevis Traditional Conference Table Top, Plinth Base"/>
        <s v="BoxOffice By Design Rectangular and Half-Moon Meeting Room Tables"/>
        <s v="BPI Conference Tables"/>
        <s v="Bretford CR4500 Series Slim Rectangular Table"/>
        <s v="Bretford CR8500 Series Meeting Room Furniture"/>
        <s v="Bretford ÒJust In TimeÓ Height-Adjustable Multi-Task Work Tables"/>
        <s v="Bretford Rectangular Conference Table Tops"/>
        <s v="Bush Advantage Collection Racetrack Conference Table"/>
        <s v="Bush Advantage Collection Round Conference Table"/>
        <s v="Bush Andora Bookcase, Maple/Graphite Gray Finish"/>
        <s v="Bush Andora Conference Table, Maple/Graphite Gray Finish"/>
        <s v="Bush Birmingham Collection Bookcase, Dark Cherry"/>
        <s v="Bush Cubix Collection Bookcases, Fully Assembled"/>
        <s v="Bush Cubix Conference Tables, Fully Assembled"/>
        <s v="Bush Heritage Pine Collection 5-Shelf Bookcase, Albany Pine Finish, *Special Order"/>
        <s v="Bush Mission Pointe Library"/>
        <s v="Bush Saratoga Collection 5-Shelf Bookcase, Hanover Cherry, *Special Order"/>
        <s v="Bush Somerset Collection Bookcase"/>
        <s v="Bush Westfield Collection Bookcases, Dark Cherry Finish"/>
        <s v="Bush Westfield Collection Bookcases, Dark Cherry Finish, Fully Assembled"/>
        <s v="Bush Westfield Collection Bookcases, Fully Assembled"/>
        <s v="Bush Westfield Collection Bookcases, Medium Cherry Finish"/>
        <s v="Career Cubicle Clock, 8 1/4&quot;, Black"/>
        <s v="Chromcraft 48&quot; x 96&quot; Racetrack Double Pedestal Table"/>
        <s v="Chromcraft Bull-Nose Wood 48&quot; x 96&quot; Rectangular Conference Tables"/>
        <s v="Chromcraft Bull-Nose Wood Oval Conference Tables &amp; Bases"/>
        <s v="Chromcraft Bull-Nose Wood Round Conference Table Top, Wood Base"/>
        <s v="Chromcraft Rectangular Conference Tables"/>
        <s v="Chromcraft Round Conference Tables"/>
        <s v="C-Line Cubicle Keepers Polyproplyene Holder w/Velcro Back, 8-1/2x11, 25/Bx"/>
        <s v="C-Line Cubicle Keepers Polyproplyene Holder With Velcro Backings"/>
        <s v="C-Line Magnetic Cubicle Keepers, Clear Polypropylene"/>
        <s v="Coloredge Poster Frame"/>
        <s v="Computer Room Manger, 14&quot;"/>
        <s v="Contemporary Borderless Frame"/>
        <s v="Contemporary Wood/Metal Frame"/>
        <s v="Contract Clock, 14&quot;, Brown"/>
        <s v="Dana Fluorescent Magnifying Lamp, White, 36&quot;"/>
        <s v="Dana Halogen Swing-Arm Architect Lamp"/>
        <s v="Dana Swing-Arm Lamps"/>
        <s v="DataProducts Ampli Magnifier Task Lamp, Black,"/>
        <s v="DAX Black Cherry Wood-Tone Poster Frame"/>
        <s v="DAX Charcoal/Nickel-Tone Document Frame, 5 x 7"/>
        <s v="Dax Clear Box Frame"/>
        <s v="DAX Clear Channel Poster Frame"/>
        <s v="DAX Contemporary Wood Frame with Silver Metal Mat, Desktop, 11 x 14 Size"/>
        <s v="DAX Copper Panel Document Frame, 5 x 7 Size"/>
        <s v="DAX Cubicle Frames - 8x10"/>
        <s v="DAX Cubicle Frames, 8-1/2 x 11"/>
        <s v="DAX Executive Solid Wood Document Frame, Desktop or Hang, Mahogany, 5 x 7"/>
        <s v="DAX Metal Frame, Desktop, Stepped-Edge"/>
        <s v="DAX Natural Wood-Tone Poster Frame"/>
        <s v="DAX Solid Wood Frames"/>
        <s v="DAX Two-Tone Rosewood/Black Document Frame, Desktop, 5 x 7"/>
        <s v="DAX Two-Tone Silver Metal Document Frame"/>
        <s v="DAX Value U-Channel Document Frames, Easel Back"/>
        <s v="DAX Wood Document Frame"/>
        <s v="DAX Wood Document Frame."/>
        <s v="Deflect-o DuraMat Antistatic Studded Beveled Mat for Medium Pile Carpeting"/>
        <s v="Deflect-o DuraMat Lighweight, Studded, Beveled Mat for Low Pile Carpeting"/>
        <s v="Deflect-o EconoMat Nonstudded, No Bevel Mat"/>
        <s v="Deflect-o EconoMat Studded, No Bevel Mat for Low Pile Carpeting"/>
        <s v="Deflect-o Glass Clear Studded Chair Mats"/>
        <s v="Deflect-O Glasstique Clear Desk Accessories"/>
        <s v="Deflect-o RollaMat Studded, Beveled Mat for Medium Pile Carpeting"/>
        <s v="Deflect-o SuperTray Unbreakable Stackable Tray, Letter, Black"/>
        <s v="DMI Arturo Collection Mission-style Design Wood Chair"/>
        <s v="DMI Eclipse Executive Suite Bookcases"/>
        <s v="Document Clip Frames"/>
        <s v="Eldon &quot;L&quot; Workstation Diamond Chairmat"/>
        <s v="Eldon 100 Class Desk Accessories"/>
        <s v="Eldon 200 Class Desk Accessories"/>
        <s v="Eldon 200 Class Desk Accessories, Black"/>
        <s v="Eldon 200 Class Desk Accessories, Burgundy"/>
        <s v="Eldon 200 Class Desk Accessories, Smoke"/>
        <s v="Eldon 300 Class Desk Accessories, Black"/>
        <s v="Eldon 400 Class Desk Accessories, Black Carbon"/>
        <s v="Eldon 500 Class Desk Accessories"/>
        <s v="Eldon Advantage Chair Mats for Low to Medium Pile Carpets"/>
        <s v="Eldon Advantage Foldable Chair Mats for Low Pile Carpets"/>
        <s v="Eldon Antistatic Chair Mats for Low to Medium Pile Carpets"/>
        <s v="Eldon Cleatmat Chair Mats for Medium Pile Carpets"/>
        <s v="Eldon Cleatmat Plus Chair Mats for High Pile Carpets"/>
        <s v="Eldon ClusterMat Chair Mat with Cordless Antistatic Protection"/>
        <s v="Eldon Delta Triangular Chair Mat, 52&quot; x 58&quot;, Clear"/>
        <s v="Eldon Econocleat Chair Mats for Low Pile Carpets"/>
        <s v="Eldon Executive Woodline II Cherry Finish Desk Accessories"/>
        <s v="Eldon Executive Woodline II Desk Accessories, Mahogany"/>
        <s v="Eldon Expressions Desk Accessory, Wood Pencil Holder, Oak"/>
        <s v="Eldon Expressions Desk Accessory, Wood Photo Frame, Mahogany"/>
        <s v="Eldon Expressions Mahogany Wood Desk Collection"/>
        <s v="Eldon Expressions Punched Metal &amp; Wood Desk Accessories, Black &amp; Cherry"/>
        <s v="Eldon Expressions Punched Metal &amp; Wood Desk Accessories, Pewter &amp; Cherry"/>
        <s v="Eldon Expressions Wood and Plastic Desk Accessories, Cherry Wood"/>
        <s v="Eldon Expressions Wood and Plastic Desk Accessories, Oak"/>
        <s v="Eldon Expressions Wood Desk Accessories, Oak"/>
        <s v="Eldon Imˆge Series Desk Accessories, Clear"/>
        <s v="Eldon Image Series Black Desk Accessories"/>
        <s v="Eldon Image Series Desk Accessories, Burgundy"/>
        <s v="Eldon Image Series Desk Accessories, Ebony"/>
        <s v="Eldon Pizzaz Desk Accessories"/>
        <s v="Eldon Radial Chair Mat for Low to Medium Pile Carpets"/>
        <s v="Eldon Regeneration Recycled Desk Accessories, Black"/>
        <s v="Eldon Regeneration Recycled Desk Accessories, Smoke"/>
        <s v="Eldon Stackable Tray, Side-Load, Legal, Smoke"/>
        <s v="Eldon Wave Desk Accessories"/>
        <s v="Electrix 20W Halogen Replacement Bulb for Zoom-In Desk Lamp"/>
        <s v="Electrix Architect's Clamp-On Swing Arm Lamp, Black"/>
        <s v="Electrix Fluorescent Magnifier Lamps &amp; Weighted Base"/>
        <s v="Electrix Halogen Magnifier Lamp"/>
        <s v="Electrix Incandescent Magnifying Lamp, Black"/>
        <s v="Executive Impressions 10&quot; Spectator Wall Clock"/>
        <s v="Executive Impressions 12&quot; Wall Clock"/>
        <s v="Executive Impressions 13&quot; Chairman Wall Clock"/>
        <s v="Executive Impressions 13&quot; Clairmont Wall Clock"/>
        <s v="Executive Impressions 13-1/2&quot; Indoor/Outdoor Wall Clock"/>
        <s v="Executive Impressions 14&quot;"/>
        <s v="Executive Impressions 14&quot; Contract Wall Clock"/>
        <s v="Executive Impressions 14&quot; Contract Wall Clock with Quartz Movement"/>
        <s v="Executive Impressions 14&quot; Two-Color Numerals Wall Clock"/>
        <s v="Executive Impressions 16-1/2&quot; Circular Wall Clock"/>
        <s v="Executive Impressions 8-1/2&quot; Career Panel/Partition Cubicle Clock"/>
        <s v="Executive Impressions Supervisor Wall Clock"/>
        <s v="Flat Face Poster Frame"/>
        <s v="Floodlight Indoor Halogen Bulbs, 1 Bulb per Pack, 60 Watts"/>
        <s v="G.E. Halogen Desk Lamp Bulbs"/>
        <s v="G.E. Longer-Life Indoor Recessed Floodlight Bulbs"/>
        <s v="GE 4 Foot Flourescent Tube, 40 Watt"/>
        <s v="GE 48&quot; Fluorescent Tube, Cool White Energy Saver, 34 Watts, 30/Box"/>
        <s v="GE General Purpose, Extra Long Life, Showcase &amp; Floodlight Incandescent Bulbs"/>
        <s v="GE General Use Halogen Bulbs, 100 Watts, 1 Bulb per Pack"/>
        <s v="Global Adaptabilites Bookcase, Cherry/Storm Gray Finish"/>
        <s v="Global Adaptabilities Conference Tables"/>
        <s v="Global Airflow Leather Mesh Back Chair, Black"/>
        <s v="Global Armless Task Chair, Royal Blue"/>
        <s v="Global Chrome Stack Chair"/>
        <s v="Global Comet Stacking Arm Chair"/>
        <s v="Global Comet Stacking Armless Chair"/>
        <s v="Global Commerce Series High-Back Swivel/Tilt Chairs"/>
        <s v="Global Commerce Series Low-Back Swivel/Tilt Chairs"/>
        <s v="Global Deluxe High-Back Manager's Chair"/>
        <s v="Global Deluxe High-Back Office Chair in Storm"/>
        <s v="Global Deluxe Office Fabric Chairs"/>
        <s v="Global Deluxe Stacking Chair, Gray"/>
        <s v="Global Deluxe Steno Chair"/>
        <s v="Global Enterprise Series Seating High-Back Swivel/Tilt Chairs"/>
        <s v="Global Enterprise Series Seating Low-Back Swivel/Tilt Chairs"/>
        <s v="Global Ergonomic Managers Chair"/>
        <s v="Global Executive Mid-Back Manager's Chair"/>
        <s v="Global Fabric Manager's Chair, Dark Gray"/>
        <s v="Global Geo Office Task Chair, Gray"/>
        <s v="Global Highback Leather Tilter in Burgundy"/>
        <s v="Global High-Back Leather Tilter, Burgundy"/>
        <s v="Global Italian Leather Office Chair"/>
        <s v="Global Leather &amp; Oak Executive Chair, Burgundy"/>
        <s v="Global Leather and Oak Executive Chair, Black"/>
        <s v="Global Leather Executive Chair"/>
        <s v="Global Leather Highback Executive Chair with Pneumatic Height Adjustment, Black"/>
        <s v="Global Leather Task Chair, Black"/>
        <s v="Global Low Back Tilter Chair"/>
        <s v="Global Manager's Adjustable Task Chair, Storm"/>
        <s v="Global Push Button Manager's Chair, Indigo"/>
        <s v="Global Stack Chair with Arms, Black"/>
        <s v="Global Stack Chair without Arms, Black"/>
        <s v="Global Super Steno Chair"/>
        <s v="Global Task Chair, Black"/>
        <s v="Global Troy Executive Leather Low-Back Tilter"/>
        <s v="Global Value Mid-Back Manager's Chair, Gray"/>
        <s v="Global Value Steno Chair, Gray"/>
        <s v="Global Wood Trimmed Manager's Task Chair, Khaki"/>
        <s v="GuestStacker Chair with Chrome Finish Legs"/>
        <s v="Hand-Finished Solid Wood Document Frame"/>
        <s v="Harbour Creations 67200 Series Stacking Chairs"/>
        <s v="Harbour Creations Steel Folding Chair"/>
        <s v="High-Back Leather Manager's Chair"/>
        <s v="Hon 2090 ÒPillow SoftÓ Series Mid Back Swivel/Tilt Chairs"/>
        <s v="Hon 2111 Invitation Series Corner Table"/>
        <s v="Hon 2111 Invitation Series Straight Table"/>
        <s v="Hon 30&quot; x 60&quot; Table with Locking Drawer"/>
        <s v="Hon 4060 Series Tables"/>
        <s v="Hon 4070 Series Pagoda Armless Upholstered Stacking Chairs"/>
        <s v="Hon 4070 Series Pagoda Round Back Stacking Chairs"/>
        <s v="Hon 4700 Series Mobuis Mid-Back Task Chairs with Adjustable Arms"/>
        <s v="Hon 4-Shelf Metal Bookcases"/>
        <s v="Hon 5100 Series Wood Tables"/>
        <s v="HON 5400 Series Task Chairs for Big and Tall"/>
        <s v="Hon 61000 Series Interactive Training Tables"/>
        <s v="Hon 94000 Series Round Tables"/>
        <s v="Hon Comfortask Task/Swivel Chairs"/>
        <s v="Hon Deluxe Fabric Upholstered Stacking Chairs"/>
        <s v="Hon Deluxe Fabric Upholstered Stacking Chairs, Rounded Back"/>
        <s v="Hon Deluxe Fabric Upholstered Stacking Chairs, Squared Back"/>
        <s v="Hon Every-Day Chair Series Swivel Task Chairs"/>
        <s v="Hon Every-Day Series Multi-Task Chairs"/>
        <s v="Hon GuestStacker Chair"/>
        <s v="Hon Metal Bookcases, Black"/>
        <s v="Hon Metal Bookcases, Gray"/>
        <s v="Hon Metal Bookcases, Putty"/>
        <s v="Hon Mobius Operator's Chair"/>
        <s v="Hon Multipurpose Stacking Arm Chairs"/>
        <s v="Hon Non-Folding Utility Tables"/>
        <s v="Hon Olson Stacker Chairs"/>
        <s v="Hon Olson Stacker Stools"/>
        <s v="Hon Pagoda Stacking Chairs"/>
        <s v="Hon Practical Foundations 30 x 60 Training Table, Light Gray/Charcoal"/>
        <s v="Hon Racetrack Conference Tables"/>
        <s v="Hon Rectangular Conference Tables"/>
        <s v="Hon Valutask Swivel Chairs"/>
        <s v="Howard Miller 11-1/2&quot; Diameter Brentwood Wall Clock"/>
        <s v="Howard Miller 11-1/2&quot; Diameter Grantwood Wall Clock"/>
        <s v="Howard Miller 11-1/2&quot; Diameter Ridgewood Wall Clock"/>
        <s v="Howard Miller 12&quot; Round Wall Clock"/>
        <s v="Howard Miller 12-3/4 Diameter Accuwave DS  Wall Clock"/>
        <s v="Howard Miller 13&quot; Diameter Goldtone Round Wall Clock"/>
        <s v="Howard Miller 13&quot; Diameter Pewter Finish Round Wall Clock"/>
        <s v="Howard Miller 13-1/2&quot; Diameter Rosebrook Wall Clock"/>
        <s v="Howard Miller 13-3/4&quot; Diameter Brushed Chrome Round Wall Clock"/>
        <s v="Howard Miller 14-1/2&quot; Diameter Chrome Round Wall Clock"/>
        <s v="Howard Miller 16&quot; Diameter Gallery Wall Clock"/>
        <s v="Howard Miller Distant Time Traveler Alarm Clock"/>
        <s v="Iceberg Nesting Folding Chair, 19w x 6d x 43h"/>
        <s v="Iceberg OfficeWorks 42&quot; Round Tables"/>
        <s v="KI Adjustable-Height Table"/>
        <s v="KI Conference Tables"/>
        <s v="Laminate Occasional Tables"/>
        <s v="Leather Task Chair, Black"/>
        <s v="Lesro Round Back Collection Coffee Table, End Table"/>
        <s v="Lesro Sheffield Collection Coffee Table, End Table, Center Table, Corner Table"/>
        <s v="Lifetime Advantage Folding Chairs, 4/Carton"/>
        <s v="Linden 10&quot; Round Wall Clock, Black"/>
        <s v="Linden 12&quot; Wall Clock With Oak Frame"/>
        <s v="Longer-Life Soft White Bulbs"/>
        <s v="Luxo Adjustable Task Clamp Lamp"/>
        <s v="Luxo Economy Swing Arm Lamp"/>
        <s v="Luxo Professional Combination Clamp-On Lamps"/>
        <s v="Luxo Professional Fluorescent Magnifier Lamp with Clamp-Mount Base"/>
        <s v="Luxo Professional Magnifying Clamp-On Fluorescent Lamps"/>
        <s v="Magna Visual Magnetic Picture Hangers"/>
        <s v="Magnifier Swing Arm Lamp"/>
        <s v="Master Big Foot Doorstop, Beige"/>
        <s v="Master Caster Door Stop, Brown"/>
        <s v="Master Caster Door Stop, Gray"/>
        <s v="Master Caster Door Stop, Large Brown"/>
        <s v="Master Caster Door Stop, Large Neon Orange"/>
        <s v="Master Giant Foot Doorstop, Safety Yellow"/>
        <s v="Metal Folding Chairs, Beige, 4/Carton"/>
        <s v="Novimex Fabric Task Chair"/>
        <s v="Novimex High-Tech Fabric Mesh Task Chair"/>
        <s v="Novimex Swivel Fabric Task Chair"/>
        <s v="Novimex Turbo Task Chair"/>
        <s v="Nu-Dell Executive Frame"/>
        <s v="Nu-Dell EZ-Mount Plastic Wall Frames"/>
        <s v="Nu-Dell Float Frame 11 x 14 1/2"/>
        <s v="Nu-Dell Leatherette Frames"/>
        <s v="Nu-Dell Oak Frame"/>
        <s v="Office Impressions End Table, 20-1/2&quot;H x 24&quot;W x 20&quot;D"/>
        <s v="Office Star - Contemporary Swivel Chair with Padded Adjustable Arms and Flex Back"/>
        <s v="Office Star - Contemporary Task Swivel Chair"/>
        <s v="Office Star - Contemporary Task Swivel chair with 2-way adjustable arms, Plum"/>
        <s v="Office Star - Contemporary Task Swivel chair with Loop Arms, Charcoal"/>
        <s v="Office Star - Ergonomic Mid Back Chair with 2-Way Adjustable Arms"/>
        <s v="Office Star - Ergonomically Designed Knee Chair"/>
        <s v="Office Star - Mesh Screen back chair with Vinyl seat"/>
        <s v="Office Star - Mid Back Dual function Ergonomic High Back Chair with 2-Way Adjustable Arms"/>
        <s v="Office Star - Professional Matrix Back Chair with 2-to-1 Synchro Tilt and Mesh Fabric Seat"/>
        <s v="Office Star - Task Chair with Contemporary Loop Arms"/>
        <s v="Office Star Flex Back Scooter Chair with Aluminum Finish Frame"/>
        <s v="Office Star Flex Back Scooter Chair with White Frame"/>
        <s v="OIC Stacking Trays"/>
        <s v="O'Sullivan 2-Door Barrister Bookcase in Odessa Pine"/>
        <s v="O'Sullivan 2-Shelf Heavy-Duty Bookcases"/>
        <s v="O'Sullivan 3-Shelf Heavy-Duty Bookcases"/>
        <s v="O'Sullivan 4-Shelf Bookcase in Odessa Pine"/>
        <s v="O'Sullivan 5-Shelf Heavy-Duty Bookcases"/>
        <s v="O'Sullivan Cherrywood Estates Traditional Barrister Bookcase"/>
        <s v="O'Sullivan Cherrywood Estates Traditional Bookcase"/>
        <s v="O'Sullivan Elevations Bookcase, Cherry Finish"/>
        <s v="O'Sullivan Living Dimensions 2-Shelf Bookcases"/>
        <s v="O'Sullivan Living Dimensions 3-Shelf Bookcases"/>
        <s v="O'Sullivan Living Dimensions 5-Shelf Bookcases"/>
        <s v="O'Sullivan Manor Hill 2-Door Library in Brianna Oak"/>
        <s v="O'Sullivan Plantations 2-Door Library in Landvery Oak"/>
        <s v="Padded Folding Chairs, Black, 4/Carton"/>
        <s v="Regeneration Desk Collection"/>
        <s v="Riverside Furniture Oval Coffee Table, Oval End Table, End Table with Drawer"/>
        <s v="Riverside Furniture Stanwyck Manor Table Series"/>
        <s v="Riverside Palais Royal Lawyers Bookcase, Royale Cherry Finish"/>
        <s v="Rubbermaid ClusterMat Chairmats, Mat Size- 66&quot; x 60&quot;, Lip 20&quot; x 11&quot; -90 Degree Angle"/>
        <s v="Rush Hierlooms Collection 1&quot; Thick Stackable Bookcases"/>
        <s v="Rush Hierlooms Collection Rich Wood Bookcases"/>
        <s v="SAFCO Arco Folding Chair"/>
        <s v="Safco Chair Connectors, 6/Carton"/>
        <s v="Safco Contoured Stacking Chairs"/>
        <s v="Safco Drafting Table"/>
        <s v="SAFCO Folding Chair Trolley"/>
        <s v="SAFCO Optional Arm Kit for Workspace Cribbage Stacking Chair"/>
        <s v="SAFCO PlanMaster Boards, 60w x 37-1/2d, White Melamine"/>
        <s v="SAFCO PlanMaster Heigh-Adjustable Drafting Table Base, 43w x 30d x 30-37h, Black"/>
        <s v="Safco Value Mate Series Steel Bookcases, Baked Enamel Finish on Steel, Gray"/>
        <s v="Safco Value Mate Steel Bookcase, Baked Enamel Finish on Steel, Black"/>
        <s v="Sauder Barrister Bookcases"/>
        <s v="Sauder Camden County Barrister Bookcase, Planked Cherry Finish"/>
        <s v="Sauder Camden County Collection Libraries, Planked Cherry Finish"/>
        <s v="Sauder Camden County Collection Library"/>
        <s v="Sauder Cornerstone Collection Library"/>
        <s v="Sauder Facets Collection Library, Sky Alder Finish"/>
        <s v="Sauder Forest Hills Library with Doors, Woodland Oak Finish"/>
        <s v="Sauder Forest Hills Library, Woodland Oak Finish"/>
        <s v="Sauder Inglewood Library Bookcases"/>
        <s v="Sauder Mission Library with Doors, Fruitwood Finish"/>
        <s v="Seth Thomas 12&quot; Clock w/ Goldtone Case"/>
        <s v="Seth Thomas 13 1/2&quot; Wall Clock"/>
        <s v="Seth Thomas 14&quot; Day/Date Wall Clock"/>
        <s v="Seth Thomas 14&quot; Putty-Colored Wall Clock"/>
        <s v="Seth Thomas 16&quot; Steel Case Clock"/>
        <s v="Seth Thomas 8 1/2&quot; Cubicle Clock"/>
        <s v="Situations Contoured Folding Chairs, 4/Set"/>
        <s v="Stackable Trays"/>
        <s v="Stacking Tray, Side-Loading, Legal, Smoke"/>
        <s v="Stacking Trays by OIC"/>
        <s v="Staple-based wall hangings"/>
        <s v="Telescoping Adjustable Floor Lamp"/>
        <s v="Tenex &quot;The Solids&quot; Textured Chair Mats"/>
        <s v="Tenex 46&quot; x 60&quot; Computer Anti-Static Chairmat, Rectangular Shaped"/>
        <s v="Tenex Antistatic Computer Chair Mats"/>
        <s v="Tenex B1-RE Series Chair Mats for Low Pile Carpets"/>
        <s v="Tenex Carpeted, Granite-Look or Clear Contemporary Contour Shape Chair Mats"/>
        <s v="Tenex Chairmat w/ Average Lip, 45&quot; x 53&quot;"/>
        <s v="Tenex Chairmats For Use With Carpeted Floors"/>
        <s v="Tenex Chairmats For Use with Hard Floors"/>
        <s v="Tenex Contemporary Contur Chairmats for Low and Medium Pile Carpet, Computer, 39&quot; x 49&quot;"/>
        <s v="Tenex Traditional Chairmats for Hard Floors, Average Lip, 36&quot; x 48&quot;"/>
        <s v="Tenex Traditional Chairmats for Medium Pile Carpet, Standard Lip, 36&quot; x 48&quot;"/>
        <s v="Tenex V2T-RE Standard Weight Series Chair Mat, 45&quot; x 53&quot;, Lip 25&quot; x 12&quot;"/>
        <s v="Tensor &quot;Hersey Kiss&quot; Styled Floor Lamp"/>
        <s v="Tensor Brushed Steel Torchiere Floor Lamp"/>
        <s v="Tensor Computer Mounted Lamp"/>
        <s v="Tensor Track Tree Floor Lamp"/>
        <s v="Ultra Commercial Grade Dual Valve Door Closer"/>
        <s v="Ultra Door Kickplate, 8&quot;H x 34&quot;W"/>
        <s v="Ultra Door Pull Handle"/>
        <s v="Ultra Door Push Plate"/>
        <s v="Westinghouse Clip-On Gooseneck Lamps"/>
        <s v="Westinghouse Floor Lamp with Metal Mesh Shade, Black"/>
        <s v="Westinghouse Mesh Shade Clip-On Gooseneck Lamp, Black"/>
      </sharedItems>
      <extLst>
        <ext xmlns:x15="http://schemas.microsoft.com/office/spreadsheetml/2010/11/main" uri="{4F2E5C28-24EA-4eb8-9CBF-B6C8F9C3D259}">
          <x15:cachedUniqueNames>
            <x15:cachedUniqueName index="0" name="[Super_Store_data].[Product Name].&amp;[12-1/2 Diameter Round Wall Clock]"/>
            <x15:cachedUniqueName index="1" name="[Super_Store_data].[Product Name].&amp;[24-Hour Round Wall Clock]"/>
            <x15:cachedUniqueName index="2" name="[Super_Store_data].[Product Name].&amp;[36X48 HARDFLOOR CHAIRMAT]"/>
            <x15:cachedUniqueName index="3" name="[Super_Store_data].[Product Name].&amp;[3M Hangers With Command Adhesive]"/>
            <x15:cachedUniqueName index="4" name="[Super_Store_data].[Product Name].&amp;[3M Polarizing Light Filter Sleeves]"/>
            <x15:cachedUniqueName index="5" name="[Super_Store_data].[Product Name].&amp;[3M Polarizing Task Lamp with Clamp Arm, Light Gray]"/>
            <x15:cachedUniqueName index="6" name="[Super_Store_data].[Product Name].&amp;[6&quot; Cubicle Wall Clock, Black]"/>
            <x15:cachedUniqueName index="7" name="[Super_Store_data].[Product Name].&amp;[9-3/4 Diameter Round Wall Clock]"/>
            <x15:cachedUniqueName index="8" name="[Super_Store_data].[Product Name].&amp;[Acrylic Self-Standing Desk Frames]"/>
            <x15:cachedUniqueName index="9" name="[Super_Store_data].[Product Name].&amp;[Advantus Employee of the Month Certificate Frame, 11 x 13-1/2]"/>
            <x15:cachedUniqueName index="10" name="[Super_Store_data].[Product Name].&amp;[Advantus Panel Wall Acrylic Frame]"/>
            <x15:cachedUniqueName index="11" name="[Super_Store_data].[Product Name].&amp;[Advantus Panel Wall Certificate Holder - 8.5x11]"/>
            <x15:cachedUniqueName index="12" name="[Super_Store_data].[Product Name].&amp;[Aluminum Document Frame]"/>
            <x15:cachedUniqueName index="13" name="[Super_Store_data].[Product Name].&amp;[Anderson Hickey Conga Table Tops &amp; Accessories]"/>
            <x15:cachedUniqueName index="14" name="[Super_Store_data].[Product Name].&amp;[Artistic Insta-Plaque]"/>
            <x15:cachedUniqueName index="15" name="[Super_Store_data].[Product Name].&amp;[Atlantic Metals Mobile 2-Shelf Bookcases, Custom Colors]"/>
            <x15:cachedUniqueName index="16" name="[Super_Store_data].[Product Name].&amp;[Atlantic Metals Mobile 3-Shelf Bookcases, Custom Colors]"/>
            <x15:cachedUniqueName index="17" name="[Super_Store_data].[Product Name].&amp;[Atlantic Metals Mobile 4-Shelf Bookcases, Custom Colors]"/>
            <x15:cachedUniqueName index="18" name="[Super_Store_data].[Product Name].&amp;[Atlantic Metals Mobile 5-Shelf Bookcases, Custom Colors]"/>
            <x15:cachedUniqueName index="19" name="[Super_Store_data].[Product Name].&amp;[Balt Solid Wood Rectangular Table]"/>
            <x15:cachedUniqueName index="20" name="[Super_Store_data].[Product Name].&amp;[Balt Solid Wood Round Tables]"/>
            <x15:cachedUniqueName index="21" name="[Super_Store_data].[Product Name].&amp;[Balt Split Level Computer Training Table]"/>
            <x15:cachedUniqueName index="22" name="[Super_Store_data].[Product Name].&amp;[Barricks 18&quot; x 48&quot; Non-Folding Utility Table with Bottom Storage Shelf]"/>
            <x15:cachedUniqueName index="23" name="[Super_Store_data].[Product Name].&amp;[Barricks Non-Folding Utility Table with Steel Legs, Laminate Tops]"/>
            <x15:cachedUniqueName index="24" name="[Super_Store_data].[Product Name].&amp;[Bestar Classic Bookcase]"/>
            <x15:cachedUniqueName index="25" name="[Super_Store_data].[Product Name].&amp;[Bevis 36 x 72 Conference Tables]"/>
            <x15:cachedUniqueName index="26" name="[Super_Store_data].[Product Name].&amp;[Bevis 44 x 96 Conference Tables]"/>
            <x15:cachedUniqueName index="27" name="[Super_Store_data].[Product Name].&amp;[Bevis Boat-Shaped Conference Table]"/>
            <x15:cachedUniqueName index="28" name="[Super_Store_data].[Product Name].&amp;[Bevis Oval Conference Table, Walnut]"/>
            <x15:cachedUniqueName index="29" name="[Super_Store_data].[Product Name].&amp;[Bevis Rectangular Conference Tables]"/>
            <x15:cachedUniqueName index="30" name="[Super_Store_data].[Product Name].&amp;[Bevis Round Bullnose 29&quot; High Table Top]"/>
            <x15:cachedUniqueName index="31" name="[Super_Store_data].[Product Name].&amp;[Bevis Round Conference Room Tables and Bases]"/>
            <x15:cachedUniqueName index="32" name="[Super_Store_data].[Product Name].&amp;[Bevis Round Conference Table Top &amp; Single Column Base]"/>
            <x15:cachedUniqueName index="33" name="[Super_Store_data].[Product Name].&amp;[Bevis Round Conference Table Top, X-Base]"/>
            <x15:cachedUniqueName index="34" name="[Super_Store_data].[Product Name].&amp;[Bevis Steel Folding Chairs]"/>
            <x15:cachedUniqueName index="35" name="[Super_Store_data].[Product Name].&amp;[Bevis Traditional Conference Table Top, Plinth Base]"/>
            <x15:cachedUniqueName index="36" name="[Super_Store_data].[Product Name].&amp;[BoxOffice By Design Rectangular and Half-Moon Meeting Room Tables]"/>
            <x15:cachedUniqueName index="37" name="[Super_Store_data].[Product Name].&amp;[BPI Conference Tables]"/>
            <x15:cachedUniqueName index="38" name="[Super_Store_data].[Product Name].&amp;[Bretford CR4500 Series Slim Rectangular Table]"/>
            <x15:cachedUniqueName index="39" name="[Super_Store_data].[Product Name].&amp;[Bretford CR8500 Series Meeting Room Furniture]"/>
            <x15:cachedUniqueName index="40" name="[Super_Store_data].[Product Name].&amp;[Bretford ÒJust In TimeÓ Height-Adjustable Multi-Task Work Tables]"/>
            <x15:cachedUniqueName index="41" name="[Super_Store_data].[Product Name].&amp;[Bretford Rectangular Conference Table Tops]"/>
            <x15:cachedUniqueName index="42" name="[Super_Store_data].[Product Name].&amp;[Bush Advantage Collection Racetrack Conference Table]"/>
            <x15:cachedUniqueName index="43" name="[Super_Store_data].[Product Name].&amp;[Bush Advantage Collection Round Conference Table]"/>
            <x15:cachedUniqueName index="44" name="[Super_Store_data].[Product Name].&amp;[Bush Andora Bookcase, Maple/Graphite Gray Finish]"/>
            <x15:cachedUniqueName index="45" name="[Super_Store_data].[Product Name].&amp;[Bush Andora Conference Table, Maple/Graphite Gray Finish]"/>
            <x15:cachedUniqueName index="46" name="[Super_Store_data].[Product Name].&amp;[Bush Birmingham Collection Bookcase, Dark Cherry]"/>
            <x15:cachedUniqueName index="47" name="[Super_Store_data].[Product Name].&amp;[Bush Cubix Collection Bookcases, Fully Assembled]"/>
            <x15:cachedUniqueName index="48" name="[Super_Store_data].[Product Name].&amp;[Bush Cubix Conference Tables, Fully Assembled]"/>
            <x15:cachedUniqueName index="49" name="[Super_Store_data].[Product Name].&amp;[Bush Heritage Pine Collection 5-Shelf Bookcase, Albany Pine Finish, *Special Order]"/>
            <x15:cachedUniqueName index="50" name="[Super_Store_data].[Product Name].&amp;[Bush Mission Pointe Library]"/>
            <x15:cachedUniqueName index="51" name="[Super_Store_data].[Product Name].&amp;[Bush Saratoga Collection 5-Shelf Bookcase, Hanover Cherry, *Special Order]"/>
            <x15:cachedUniqueName index="52" name="[Super_Store_data].[Product Name].&amp;[Bush Somerset Collection Bookcase]"/>
            <x15:cachedUniqueName index="53" name="[Super_Store_data].[Product Name].&amp;[Bush Westfield Collection Bookcases, Dark Cherry Finish]"/>
            <x15:cachedUniqueName index="54" name="[Super_Store_data].[Product Name].&amp;[Bush Westfield Collection Bookcases, Dark Cherry Finish, Fully Assembled]"/>
            <x15:cachedUniqueName index="55" name="[Super_Store_data].[Product Name].&amp;[Bush Westfield Collection Bookcases, Fully Assembled]"/>
            <x15:cachedUniqueName index="56" name="[Super_Store_data].[Product Name].&amp;[Bush Westfield Collection Bookcases, Medium Cherry Finish]"/>
            <x15:cachedUniqueName index="57" name="[Super_Store_data].[Product Name].&amp;[Career Cubicle Clock, 8 1/4&quot;, Black]"/>
            <x15:cachedUniqueName index="58" name="[Super_Store_data].[Product Name].&amp;[Chromcraft 48&quot; x 96&quot; Racetrack Double Pedestal Table]"/>
            <x15:cachedUniqueName index="59" name="[Super_Store_data].[Product Name].&amp;[Chromcraft Bull-Nose Wood 48&quot; x 96&quot; Rectangular Conference Tables]"/>
            <x15:cachedUniqueName index="60" name="[Super_Store_data].[Product Name].&amp;[Chromcraft Bull-Nose Wood Oval Conference Tables &amp; Bases]"/>
            <x15:cachedUniqueName index="61" name="[Super_Store_data].[Product Name].&amp;[Chromcraft Bull-Nose Wood Round Conference Table Top, Wood Base]"/>
            <x15:cachedUniqueName index="62" name="[Super_Store_data].[Product Name].&amp;[Chromcraft Rectangular Conference Tables]"/>
            <x15:cachedUniqueName index="63" name="[Super_Store_data].[Product Name].&amp;[Chromcraft Round Conference Tables]"/>
            <x15:cachedUniqueName index="64" name="[Super_Store_data].[Product Name].&amp;[C-Line Cubicle Keepers Polyproplyene Holder w/Velcro Back, 8-1/2x11, 25/Bx]"/>
            <x15:cachedUniqueName index="65" name="[Super_Store_data].[Product Name].&amp;[C-Line Cubicle Keepers Polyproplyene Holder With Velcro Backings]"/>
            <x15:cachedUniqueName index="66" name="[Super_Store_data].[Product Name].&amp;[C-Line Magnetic Cubicle Keepers, Clear Polypropylene]"/>
            <x15:cachedUniqueName index="67" name="[Super_Store_data].[Product Name].&amp;[Coloredge Poster Frame]"/>
            <x15:cachedUniqueName index="68" name="[Super_Store_data].[Product Name].&amp;[Computer Room Manger, 14&quot;]"/>
            <x15:cachedUniqueName index="69" name="[Super_Store_data].[Product Name].&amp;[Contemporary Borderless Frame]"/>
            <x15:cachedUniqueName index="70" name="[Super_Store_data].[Product Name].&amp;[Contemporary Wood/Metal Frame]"/>
            <x15:cachedUniqueName index="71" name="[Super_Store_data].[Product Name].&amp;[Contract Clock, 14&quot;, Brown]"/>
            <x15:cachedUniqueName index="72" name="[Super_Store_data].[Product Name].&amp;[Dana Fluorescent Magnifying Lamp, White, 36&quot;]"/>
            <x15:cachedUniqueName index="73" name="[Super_Store_data].[Product Name].&amp;[Dana Halogen Swing-Arm Architect Lamp]"/>
            <x15:cachedUniqueName index="74" name="[Super_Store_data].[Product Name].&amp;[Dana Swing-Arm Lamps]"/>
            <x15:cachedUniqueName index="75" name="[Super_Store_data].[Product Name].&amp;[DataProducts Ampli Magnifier Task Lamp, Black,]"/>
            <x15:cachedUniqueName index="76" name="[Super_Store_data].[Product Name].&amp;[DAX Black Cherry Wood-Tone Poster Frame]"/>
            <x15:cachedUniqueName index="77" name="[Super_Store_data].[Product Name].&amp;[DAX Charcoal/Nickel-Tone Document Frame, 5 x 7]"/>
            <x15:cachedUniqueName index="78" name="[Super_Store_data].[Product Name].&amp;[Dax Clear Box Frame]"/>
            <x15:cachedUniqueName index="79" name="[Super_Store_data].[Product Name].&amp;[DAX Clear Channel Poster Frame]"/>
            <x15:cachedUniqueName index="80" name="[Super_Store_data].[Product Name].&amp;[DAX Contemporary Wood Frame with Silver Metal Mat, Desktop, 11 x 14 Size]"/>
            <x15:cachedUniqueName index="81" name="[Super_Store_data].[Product Name].&amp;[DAX Copper Panel Document Frame, 5 x 7 Size]"/>
            <x15:cachedUniqueName index="82" name="[Super_Store_data].[Product Name].&amp;[DAX Cubicle Frames - 8x10]"/>
            <x15:cachedUniqueName index="83" name="[Super_Store_data].[Product Name].&amp;[DAX Cubicle Frames, 8-1/2 x 11]"/>
            <x15:cachedUniqueName index="84" name="[Super_Store_data].[Product Name].&amp;[DAX Executive Solid Wood Document Frame, Desktop or Hang, Mahogany, 5 x 7]"/>
            <x15:cachedUniqueName index="85" name="[Super_Store_data].[Product Name].&amp;[DAX Metal Frame, Desktop, Stepped-Edge]"/>
            <x15:cachedUniqueName index="86" name="[Super_Store_data].[Product Name].&amp;[DAX Natural Wood-Tone Poster Frame]"/>
            <x15:cachedUniqueName index="87" name="[Super_Store_data].[Product Name].&amp;[DAX Solid Wood Frames]"/>
            <x15:cachedUniqueName index="88" name="[Super_Store_data].[Product Name].&amp;[DAX Two-Tone Rosewood/Black Document Frame, Desktop, 5 x 7]"/>
            <x15:cachedUniqueName index="89" name="[Super_Store_data].[Product Name].&amp;[DAX Two-Tone Silver Metal Document Frame]"/>
            <x15:cachedUniqueName index="90" name="[Super_Store_data].[Product Name].&amp;[DAX Value U-Channel Document Frames, Easel Back]"/>
            <x15:cachedUniqueName index="91" name="[Super_Store_data].[Product Name].&amp;[DAX Wood Document Frame]"/>
            <x15:cachedUniqueName index="92" name="[Super_Store_data].[Product Name].&amp;[DAX Wood Document Frame.]"/>
            <x15:cachedUniqueName index="93" name="[Super_Store_data].[Product Name].&amp;[Deflect-o DuraMat Antistatic Studded Beveled Mat for Medium Pile Carpeting]"/>
            <x15:cachedUniqueName index="94" name="[Super_Store_data].[Product Name].&amp;[Deflect-o DuraMat Lighweight, Studded, Beveled Mat for Low Pile Carpeting]"/>
            <x15:cachedUniqueName index="95" name="[Super_Store_data].[Product Name].&amp;[Deflect-o EconoMat Nonstudded, No Bevel Mat]"/>
            <x15:cachedUniqueName index="96" name="[Super_Store_data].[Product Name].&amp;[Deflect-o EconoMat Studded, No Bevel Mat for Low Pile Carpeting]"/>
            <x15:cachedUniqueName index="97" name="[Super_Store_data].[Product Name].&amp;[Deflect-o Glass Clear Studded Chair Mats]"/>
            <x15:cachedUniqueName index="98" name="[Super_Store_data].[Product Name].&amp;[Deflect-O Glasstique Clear Desk Accessories]"/>
            <x15:cachedUniqueName index="99" name="[Super_Store_data].[Product Name].&amp;[Deflect-o RollaMat Studded, Beveled Mat for Medium Pile Carpeting]"/>
            <x15:cachedUniqueName index="100" name="[Super_Store_data].[Product Name].&amp;[Deflect-o SuperTray Unbreakable Stackable Tray, Letter, Black]"/>
            <x15:cachedUniqueName index="101" name="[Super_Store_data].[Product Name].&amp;[DMI Arturo Collection Mission-style Design Wood Chair]"/>
            <x15:cachedUniqueName index="102" name="[Super_Store_data].[Product Name].&amp;[DMI Eclipse Executive Suite Bookcases]"/>
            <x15:cachedUniqueName index="103" name="[Super_Store_data].[Product Name].&amp;[Document Clip Frames]"/>
            <x15:cachedUniqueName index="104" name="[Super_Store_data].[Product Name].&amp;[Eldon &quot;L&quot; Workstation Diamond Chairmat]"/>
            <x15:cachedUniqueName index="105" name="[Super_Store_data].[Product Name].&amp;[Eldon 100 Class Desk Accessories]"/>
            <x15:cachedUniqueName index="106" name="[Super_Store_data].[Product Name].&amp;[Eldon 200 Class Desk Accessories]"/>
            <x15:cachedUniqueName index="107" name="[Super_Store_data].[Product Name].&amp;[Eldon 200 Class Desk Accessories, Black]"/>
            <x15:cachedUniqueName index="108" name="[Super_Store_data].[Product Name].&amp;[Eldon 200 Class Desk Accessories, Burgundy]"/>
            <x15:cachedUniqueName index="109" name="[Super_Store_data].[Product Name].&amp;[Eldon 200 Class Desk Accessories, Smoke]"/>
            <x15:cachedUniqueName index="110" name="[Super_Store_data].[Product Name].&amp;[Eldon 300 Class Desk Accessories, Black]"/>
            <x15:cachedUniqueName index="111" name="[Super_Store_data].[Product Name].&amp;[Eldon 400 Class Desk Accessories, Black Carbon]"/>
            <x15:cachedUniqueName index="112" name="[Super_Store_data].[Product Name].&amp;[Eldon 500 Class Desk Accessories]"/>
            <x15:cachedUniqueName index="113" name="[Super_Store_data].[Product Name].&amp;[Eldon Advantage Chair Mats for Low to Medium Pile Carpets]"/>
            <x15:cachedUniqueName index="114" name="[Super_Store_data].[Product Name].&amp;[Eldon Advantage Foldable Chair Mats for Low Pile Carpets]"/>
            <x15:cachedUniqueName index="115" name="[Super_Store_data].[Product Name].&amp;[Eldon Antistatic Chair Mats for Low to Medium Pile Carpets]"/>
            <x15:cachedUniqueName index="116" name="[Super_Store_data].[Product Name].&amp;[Eldon Cleatmat Chair Mats for Medium Pile Carpets]"/>
            <x15:cachedUniqueName index="117" name="[Super_Store_data].[Product Name].&amp;[Eldon Cleatmat Plus Chair Mats for High Pile Carpets]"/>
            <x15:cachedUniqueName index="118" name="[Super_Store_data].[Product Name].&amp;[Eldon ClusterMat Chair Mat with Cordless Antistatic Protection]"/>
            <x15:cachedUniqueName index="119" name="[Super_Store_data].[Product Name].&amp;[Eldon Delta Triangular Chair Mat, 52&quot; x 58&quot;, Clear]"/>
            <x15:cachedUniqueName index="120" name="[Super_Store_data].[Product Name].&amp;[Eldon Econocleat Chair Mats for Low Pile Carpets]"/>
            <x15:cachedUniqueName index="121" name="[Super_Store_data].[Product Name].&amp;[Eldon Executive Woodline II Cherry Finish Desk Accessories]"/>
            <x15:cachedUniqueName index="122" name="[Super_Store_data].[Product Name].&amp;[Eldon Executive Woodline II Desk Accessories, Mahogany]"/>
            <x15:cachedUniqueName index="123" name="[Super_Store_data].[Product Name].&amp;[Eldon Expressions Desk Accessory, Wood Pencil Holder, Oak]"/>
            <x15:cachedUniqueName index="124" name="[Super_Store_data].[Product Name].&amp;[Eldon Expressions Desk Accessory, Wood Photo Frame, Mahogany]"/>
            <x15:cachedUniqueName index="125" name="[Super_Store_data].[Product Name].&amp;[Eldon Expressions Mahogany Wood Desk Collection]"/>
            <x15:cachedUniqueName index="126" name="[Super_Store_data].[Product Name].&amp;[Eldon Expressions Punched Metal &amp; Wood Desk Accessories, Black &amp; Cherry]"/>
            <x15:cachedUniqueName index="127" name="[Super_Store_data].[Product Name].&amp;[Eldon Expressions Punched Metal &amp; Wood Desk Accessories, Pewter &amp; Cherry]"/>
            <x15:cachedUniqueName index="128" name="[Super_Store_data].[Product Name].&amp;[Eldon Expressions Wood and Plastic Desk Accessories, Cherry Wood]"/>
            <x15:cachedUniqueName index="129" name="[Super_Store_data].[Product Name].&amp;[Eldon Expressions Wood and Plastic Desk Accessories, Oak]"/>
            <x15:cachedUniqueName index="130" name="[Super_Store_data].[Product Name].&amp;[Eldon Expressions Wood Desk Accessories, Oak]"/>
            <x15:cachedUniqueName index="131" name="[Super_Store_data].[Product Name].&amp;[Eldon Imˆge Series Desk Accessories, Clear]"/>
            <x15:cachedUniqueName index="132" name="[Super_Store_data].[Product Name].&amp;[Eldon Image Series Black Desk Accessories]"/>
            <x15:cachedUniqueName index="133" name="[Super_Store_data].[Product Name].&amp;[Eldon Image Series Desk Accessories, Burgundy]"/>
            <x15:cachedUniqueName index="134" name="[Super_Store_data].[Product Name].&amp;[Eldon Image Series Desk Accessories, Ebony]"/>
            <x15:cachedUniqueName index="135" name="[Super_Store_data].[Product Name].&amp;[Eldon Pizzaz Desk Accessories]"/>
            <x15:cachedUniqueName index="136" name="[Super_Store_data].[Product Name].&amp;[Eldon Radial Chair Mat for Low to Medium Pile Carpets]"/>
            <x15:cachedUniqueName index="137" name="[Super_Store_data].[Product Name].&amp;[Eldon Regeneration Recycled Desk Accessories, Black]"/>
            <x15:cachedUniqueName index="138" name="[Super_Store_data].[Product Name].&amp;[Eldon Regeneration Recycled Desk Accessories, Smoke]"/>
            <x15:cachedUniqueName index="139" name="[Super_Store_data].[Product Name].&amp;[Eldon Stackable Tray, Side-Load, Legal, Smoke]"/>
            <x15:cachedUniqueName index="140" name="[Super_Store_data].[Product Name].&amp;[Eldon Wave Desk Accessories]"/>
            <x15:cachedUniqueName index="141" name="[Super_Store_data].[Product Name].&amp;[Electrix 20W Halogen Replacement Bulb for Zoom-In Desk Lamp]"/>
            <x15:cachedUniqueName index="142" name="[Super_Store_data].[Product Name].&amp;[Electrix Architect's Clamp-On Swing Arm Lamp, Black]"/>
            <x15:cachedUniqueName index="143" name="[Super_Store_data].[Product Name].&amp;[Electrix Fluorescent Magnifier Lamps &amp; Weighted Base]"/>
            <x15:cachedUniqueName index="144" name="[Super_Store_data].[Product Name].&amp;[Electrix Halogen Magnifier Lamp]"/>
            <x15:cachedUniqueName index="145" name="[Super_Store_data].[Product Name].&amp;[Electrix Incandescent Magnifying Lamp, Black]"/>
            <x15:cachedUniqueName index="146" name="[Super_Store_data].[Product Name].&amp;[Executive Impressions 10&quot; Spectator Wall Clock]"/>
            <x15:cachedUniqueName index="147" name="[Super_Store_data].[Product Name].&amp;[Executive Impressions 12&quot; Wall Clock]"/>
            <x15:cachedUniqueName index="148" name="[Super_Store_data].[Product Name].&amp;[Executive Impressions 13&quot; Chairman Wall Clock]"/>
            <x15:cachedUniqueName index="149" name="[Super_Store_data].[Product Name].&amp;[Executive Impressions 13&quot; Clairmont Wall Clock]"/>
            <x15:cachedUniqueName index="150" name="[Super_Store_data].[Product Name].&amp;[Executive Impressions 13-1/2&quot; Indoor/Outdoor Wall Clock]"/>
            <x15:cachedUniqueName index="151" name="[Super_Store_data].[Product Name].&amp;[Executive Impressions 14&quot;]"/>
            <x15:cachedUniqueName index="152" name="[Super_Store_data].[Product Name].&amp;[Executive Impressions 14&quot; Contract Wall Clock]"/>
            <x15:cachedUniqueName index="153" name="[Super_Store_data].[Product Name].&amp;[Executive Impressions 14&quot; Contract Wall Clock with Quartz Movement]"/>
            <x15:cachedUniqueName index="154" name="[Super_Store_data].[Product Name].&amp;[Executive Impressions 14&quot; Two-Color Numerals Wall Clock]"/>
            <x15:cachedUniqueName index="155" name="[Super_Store_data].[Product Name].&amp;[Executive Impressions 16-1/2&quot; Circular Wall Clock]"/>
            <x15:cachedUniqueName index="156" name="[Super_Store_data].[Product Name].&amp;[Executive Impressions 8-1/2&quot; Career Panel/Partition Cubicle Clock]"/>
            <x15:cachedUniqueName index="157" name="[Super_Store_data].[Product Name].&amp;[Executive Impressions Supervisor Wall Clock]"/>
            <x15:cachedUniqueName index="158" name="[Super_Store_data].[Product Name].&amp;[Flat Face Poster Frame]"/>
            <x15:cachedUniqueName index="159" name="[Super_Store_data].[Product Name].&amp;[Floodlight Indoor Halogen Bulbs, 1 Bulb per Pack, 60 Watts]"/>
            <x15:cachedUniqueName index="160" name="[Super_Store_data].[Product Name].&amp;[G.E. Halogen Desk Lamp Bulbs]"/>
            <x15:cachedUniqueName index="161" name="[Super_Store_data].[Product Name].&amp;[G.E. Longer-Life Indoor Recessed Floodlight Bulbs]"/>
            <x15:cachedUniqueName index="162" name="[Super_Store_data].[Product Name].&amp;[GE 4 Foot Flourescent Tube, 40 Watt]"/>
            <x15:cachedUniqueName index="163" name="[Super_Store_data].[Product Name].&amp;[GE 48&quot; Fluorescent Tube, Cool White Energy Saver, 34 Watts, 30/Box]"/>
            <x15:cachedUniqueName index="164" name="[Super_Store_data].[Product Name].&amp;[GE General Purpose, Extra Long Life, Showcase &amp; Floodlight Incandescent Bulbs]"/>
            <x15:cachedUniqueName index="165" name="[Super_Store_data].[Product Name].&amp;[GE General Use Halogen Bulbs, 100 Watts, 1 Bulb per Pack]"/>
            <x15:cachedUniqueName index="166" name="[Super_Store_data].[Product Name].&amp;[Global Adaptabilites Bookcase, Cherry/Storm Gray Finish]"/>
            <x15:cachedUniqueName index="167" name="[Super_Store_data].[Product Name].&amp;[Global Adaptabilities Conference Tables]"/>
            <x15:cachedUniqueName index="168" name="[Super_Store_data].[Product Name].&amp;[Global Airflow Leather Mesh Back Chair, Black]"/>
            <x15:cachedUniqueName index="169" name="[Super_Store_data].[Product Name].&amp;[Global Armless Task Chair, Royal Blue]"/>
            <x15:cachedUniqueName index="170" name="[Super_Store_data].[Product Name].&amp;[Global Chrome Stack Chair]"/>
            <x15:cachedUniqueName index="171" name="[Super_Store_data].[Product Name].&amp;[Global Comet Stacking Arm Chair]"/>
            <x15:cachedUniqueName index="172" name="[Super_Store_data].[Product Name].&amp;[Global Comet Stacking Armless Chair]"/>
            <x15:cachedUniqueName index="173" name="[Super_Store_data].[Product Name].&amp;[Global Commerce Series High-Back Swivel/Tilt Chairs]"/>
            <x15:cachedUniqueName index="174" name="[Super_Store_data].[Product Name].&amp;[Global Commerce Series Low-Back Swivel/Tilt Chairs]"/>
            <x15:cachedUniqueName index="175" name="[Super_Store_data].[Product Name].&amp;[Global Deluxe High-Back Manager's Chair]"/>
            <x15:cachedUniqueName index="176" name="[Super_Store_data].[Product Name].&amp;[Global Deluxe High-Back Office Chair in Storm]"/>
            <x15:cachedUniqueName index="177" name="[Super_Store_data].[Product Name].&amp;[Global Deluxe Office Fabric Chairs]"/>
            <x15:cachedUniqueName index="178" name="[Super_Store_data].[Product Name].&amp;[Global Deluxe Stacking Chair, Gray]"/>
            <x15:cachedUniqueName index="179" name="[Super_Store_data].[Product Name].&amp;[Global Deluxe Steno Chair]"/>
            <x15:cachedUniqueName index="180" name="[Super_Store_data].[Product Name].&amp;[Global Enterprise Series Seating High-Back Swivel/Tilt Chairs]"/>
            <x15:cachedUniqueName index="181" name="[Super_Store_data].[Product Name].&amp;[Global Enterprise Series Seating Low-Back Swivel/Tilt Chairs]"/>
            <x15:cachedUniqueName index="182" name="[Super_Store_data].[Product Name].&amp;[Global Ergonomic Managers Chair]"/>
            <x15:cachedUniqueName index="183" name="[Super_Store_data].[Product Name].&amp;[Global Executive Mid-Back Manager's Chair]"/>
            <x15:cachedUniqueName index="184" name="[Super_Store_data].[Product Name].&amp;[Global Fabric Manager's Chair, Dark Gray]"/>
            <x15:cachedUniqueName index="185" name="[Super_Store_data].[Product Name].&amp;[Global Geo Office Task Chair, Gray]"/>
            <x15:cachedUniqueName index="186" name="[Super_Store_data].[Product Name].&amp;[Global Highback Leather Tilter in Burgundy]"/>
            <x15:cachedUniqueName index="187" name="[Super_Store_data].[Product Name].&amp;[Global High-Back Leather Tilter, Burgundy]"/>
            <x15:cachedUniqueName index="188" name="[Super_Store_data].[Product Name].&amp;[Global Italian Leather Office Chair]"/>
            <x15:cachedUniqueName index="189" name="[Super_Store_data].[Product Name].&amp;[Global Leather &amp; Oak Executive Chair, Burgundy]"/>
            <x15:cachedUniqueName index="190" name="[Super_Store_data].[Product Name].&amp;[Global Leather and Oak Executive Chair, Black]"/>
            <x15:cachedUniqueName index="191" name="[Super_Store_data].[Product Name].&amp;[Global Leather Executive Chair]"/>
            <x15:cachedUniqueName index="192" name="[Super_Store_data].[Product Name].&amp;[Global Leather Highback Executive Chair with Pneumatic Height Adjustment, Black]"/>
            <x15:cachedUniqueName index="193" name="[Super_Store_data].[Product Name].&amp;[Global Leather Task Chair, Black]"/>
            <x15:cachedUniqueName index="194" name="[Super_Store_data].[Product Name].&amp;[Global Low Back Tilter Chair]"/>
            <x15:cachedUniqueName index="195" name="[Super_Store_data].[Product Name].&amp;[Global Manager's Adjustable Task Chair, Storm]"/>
            <x15:cachedUniqueName index="196" name="[Super_Store_data].[Product Name].&amp;[Global Push Button Manager's Chair, Indigo]"/>
            <x15:cachedUniqueName index="197" name="[Super_Store_data].[Product Name].&amp;[Global Stack Chair with Arms, Black]"/>
            <x15:cachedUniqueName index="198" name="[Super_Store_data].[Product Name].&amp;[Global Stack Chair without Arms, Black]"/>
            <x15:cachedUniqueName index="199" name="[Super_Store_data].[Product Name].&amp;[Global Super Steno Chair]"/>
            <x15:cachedUniqueName index="200" name="[Super_Store_data].[Product Name].&amp;[Global Task Chair, Black]"/>
            <x15:cachedUniqueName index="201" name="[Super_Store_data].[Product Name].&amp;[Global Troy Executive Leather Low-Back Tilter]"/>
            <x15:cachedUniqueName index="202" name="[Super_Store_data].[Product Name].&amp;[Global Value Mid-Back Manager's Chair, Gray]"/>
            <x15:cachedUniqueName index="203" name="[Super_Store_data].[Product Name].&amp;[Global Value Steno Chair, Gray]"/>
            <x15:cachedUniqueName index="204" name="[Super_Store_data].[Product Name].&amp;[Global Wood Trimmed Manager's Task Chair, Khaki]"/>
            <x15:cachedUniqueName index="205" name="[Super_Store_data].[Product Name].&amp;[GuestStacker Chair with Chrome Finish Legs]"/>
            <x15:cachedUniqueName index="206" name="[Super_Store_data].[Product Name].&amp;[Hand-Finished Solid Wood Document Frame]"/>
            <x15:cachedUniqueName index="207" name="[Super_Store_data].[Product Name].&amp;[Harbour Creations 67200 Series Stacking Chairs]"/>
            <x15:cachedUniqueName index="208" name="[Super_Store_data].[Product Name].&amp;[Harbour Creations Steel Folding Chair]"/>
            <x15:cachedUniqueName index="209" name="[Super_Store_data].[Product Name].&amp;[High-Back Leather Manager's Chair]"/>
            <x15:cachedUniqueName index="210" name="[Super_Store_data].[Product Name].&amp;[Hon 2090 ÒPillow SoftÓ Series Mid Back Swivel/Tilt Chairs]"/>
            <x15:cachedUniqueName index="211" name="[Super_Store_data].[Product Name].&amp;[Hon 2111 Invitation Series Corner Table]"/>
            <x15:cachedUniqueName index="212" name="[Super_Store_data].[Product Name].&amp;[Hon 2111 Invitation Series Straight Table]"/>
            <x15:cachedUniqueName index="213" name="[Super_Store_data].[Product Name].&amp;[Hon 30&quot; x 60&quot; Table with Locking Drawer]"/>
            <x15:cachedUniqueName index="214" name="[Super_Store_data].[Product Name].&amp;[Hon 4060 Series Tables]"/>
            <x15:cachedUniqueName index="215" name="[Super_Store_data].[Product Name].&amp;[Hon 4070 Series Pagoda Armless Upholstered Stacking Chairs]"/>
            <x15:cachedUniqueName index="216" name="[Super_Store_data].[Product Name].&amp;[Hon 4070 Series Pagoda Round Back Stacking Chairs]"/>
            <x15:cachedUniqueName index="217" name="[Super_Store_data].[Product Name].&amp;[Hon 4700 Series Mobuis Mid-Back Task Chairs with Adjustable Arms]"/>
            <x15:cachedUniqueName index="218" name="[Super_Store_data].[Product Name].&amp;[Hon 4-Shelf Metal Bookcases]"/>
            <x15:cachedUniqueName index="219" name="[Super_Store_data].[Product Name].&amp;[Hon 5100 Series Wood Tables]"/>
            <x15:cachedUniqueName index="220" name="[Super_Store_data].[Product Name].&amp;[HON 5400 Series Task Chairs for Big and Tall]"/>
            <x15:cachedUniqueName index="221" name="[Super_Store_data].[Product Name].&amp;[Hon 61000 Series Interactive Training Tables]"/>
            <x15:cachedUniqueName index="222" name="[Super_Store_data].[Product Name].&amp;[Hon 94000 Series Round Tables]"/>
            <x15:cachedUniqueName index="223" name="[Super_Store_data].[Product Name].&amp;[Hon Comfortask Task/Swivel Chairs]"/>
            <x15:cachedUniqueName index="224" name="[Super_Store_data].[Product Name].&amp;[Hon Deluxe Fabric Upholstered Stacking Chairs]"/>
            <x15:cachedUniqueName index="225" name="[Super_Store_data].[Product Name].&amp;[Hon Deluxe Fabric Upholstered Stacking Chairs, Rounded Back]"/>
            <x15:cachedUniqueName index="226" name="[Super_Store_data].[Product Name].&amp;[Hon Deluxe Fabric Upholstered Stacking Chairs, Squared Back]"/>
            <x15:cachedUniqueName index="227" name="[Super_Store_data].[Product Name].&amp;[Hon Every-Day Chair Series Swivel Task Chairs]"/>
            <x15:cachedUniqueName index="228" name="[Super_Store_data].[Product Name].&amp;[Hon Every-Day Series Multi-Task Chairs]"/>
            <x15:cachedUniqueName index="229" name="[Super_Store_data].[Product Name].&amp;[Hon GuestStacker Chair]"/>
            <x15:cachedUniqueName index="230" name="[Super_Store_data].[Product Name].&amp;[Hon Metal Bookcases, Black]"/>
            <x15:cachedUniqueName index="231" name="[Super_Store_data].[Product Name].&amp;[Hon Metal Bookcases, Gray]"/>
            <x15:cachedUniqueName index="232" name="[Super_Store_data].[Product Name].&amp;[Hon Metal Bookcases, Putty]"/>
            <x15:cachedUniqueName index="233" name="[Super_Store_data].[Product Name].&amp;[Hon Mobius Operator's Chair]"/>
            <x15:cachedUniqueName index="234" name="[Super_Store_data].[Product Name].&amp;[Hon Multipurpose Stacking Arm Chairs]"/>
            <x15:cachedUniqueName index="235" name="[Super_Store_data].[Product Name].&amp;[Hon Non-Folding Utility Tables]"/>
            <x15:cachedUniqueName index="236" name="[Super_Store_data].[Product Name].&amp;[Hon Olson Stacker Chairs]"/>
            <x15:cachedUniqueName index="237" name="[Super_Store_data].[Product Name].&amp;[Hon Olson Stacker Stools]"/>
            <x15:cachedUniqueName index="238" name="[Super_Store_data].[Product Name].&amp;[Hon Pagoda Stacking Chairs]"/>
            <x15:cachedUniqueName index="239" name="[Super_Store_data].[Product Name].&amp;[Hon Practical Foundations 30 x 60 Training Table, Light Gray/Charcoal]"/>
            <x15:cachedUniqueName index="240" name="[Super_Store_data].[Product Name].&amp;[Hon Racetrack Conference Tables]"/>
            <x15:cachedUniqueName index="241" name="[Super_Store_data].[Product Name].&amp;[Hon Rectangular Conference Tables]"/>
            <x15:cachedUniqueName index="242" name="[Super_Store_data].[Product Name].&amp;[Hon Valutask Swivel Chairs]"/>
            <x15:cachedUniqueName index="243" name="[Super_Store_data].[Product Name].&amp;[Howard Miller 11-1/2&quot; Diameter Brentwood Wall Clock]"/>
            <x15:cachedUniqueName index="244" name="[Super_Store_data].[Product Name].&amp;[Howard Miller 11-1/2&quot; Diameter Grantwood Wall Clock]"/>
            <x15:cachedUniqueName index="245" name="[Super_Store_data].[Product Name].&amp;[Howard Miller 11-1/2&quot; Diameter Ridgewood Wall Clock]"/>
            <x15:cachedUniqueName index="246" name="[Super_Store_data].[Product Name].&amp;[Howard Miller 12&quot; Round Wall Clock]"/>
            <x15:cachedUniqueName index="247" name="[Super_Store_data].[Product Name].&amp;[Howard Miller 12-3/4 Diameter Accuwave DS  Wall Clock]"/>
            <x15:cachedUniqueName index="248" name="[Super_Store_data].[Product Name].&amp;[Howard Miller 13&quot; Diameter Goldtone Round Wall Clock]"/>
            <x15:cachedUniqueName index="249" name="[Super_Store_data].[Product Name].&amp;[Howard Miller 13&quot; Diameter Pewter Finish Round Wall Clock]"/>
            <x15:cachedUniqueName index="250" name="[Super_Store_data].[Product Name].&amp;[Howard Miller 13-1/2&quot; Diameter Rosebrook Wall Clock]"/>
            <x15:cachedUniqueName index="251" name="[Super_Store_data].[Product Name].&amp;[Howard Miller 13-3/4&quot; Diameter Brushed Chrome Round Wall Clock]"/>
            <x15:cachedUniqueName index="252" name="[Super_Store_data].[Product Name].&amp;[Howard Miller 14-1/2&quot; Diameter Chrome Round Wall Clock]"/>
            <x15:cachedUniqueName index="253" name="[Super_Store_data].[Product Name].&amp;[Howard Miller 16&quot; Diameter Gallery Wall Clock]"/>
            <x15:cachedUniqueName index="254" name="[Super_Store_data].[Product Name].&amp;[Howard Miller Distant Time Traveler Alarm Clock]"/>
            <x15:cachedUniqueName index="255" name="[Super_Store_data].[Product Name].&amp;[Iceberg Nesting Folding Chair, 19w x 6d x 43h]"/>
            <x15:cachedUniqueName index="256" name="[Super_Store_data].[Product Name].&amp;[Iceberg OfficeWorks 42&quot; Round Tables]"/>
            <x15:cachedUniqueName index="257" name="[Super_Store_data].[Product Name].&amp;[KI Adjustable-Height Table]"/>
            <x15:cachedUniqueName index="258" name="[Super_Store_data].[Product Name].&amp;[KI Conference Tables]"/>
            <x15:cachedUniqueName index="259" name="[Super_Store_data].[Product Name].&amp;[Laminate Occasional Tables]"/>
            <x15:cachedUniqueName index="260" name="[Super_Store_data].[Product Name].&amp;[Leather Task Chair, Black]"/>
            <x15:cachedUniqueName index="261" name="[Super_Store_data].[Product Name].&amp;[Lesro Round Back Collection Coffee Table, End Table]"/>
            <x15:cachedUniqueName index="262" name="[Super_Store_data].[Product Name].&amp;[Lesro Sheffield Collection Coffee Table, End Table, Center Table, Corner Table]"/>
            <x15:cachedUniqueName index="263" name="[Super_Store_data].[Product Name].&amp;[Lifetime Advantage Folding Chairs, 4/Carton]"/>
            <x15:cachedUniqueName index="264" name="[Super_Store_data].[Product Name].&amp;[Linden 10&quot; Round Wall Clock, Black]"/>
            <x15:cachedUniqueName index="265" name="[Super_Store_data].[Product Name].&amp;[Linden 12&quot; Wall Clock With Oak Frame]"/>
            <x15:cachedUniqueName index="266" name="[Super_Store_data].[Product Name].&amp;[Longer-Life Soft White Bulbs]"/>
            <x15:cachedUniqueName index="267" name="[Super_Store_data].[Product Name].&amp;[Luxo Adjustable Task Clamp Lamp]"/>
            <x15:cachedUniqueName index="268" name="[Super_Store_data].[Product Name].&amp;[Luxo Economy Swing Arm Lamp]"/>
            <x15:cachedUniqueName index="269" name="[Super_Store_data].[Product Name].&amp;[Luxo Professional Combination Clamp-On Lamps]"/>
            <x15:cachedUniqueName index="270" name="[Super_Store_data].[Product Name].&amp;[Luxo Professional Fluorescent Magnifier Lamp with Clamp-Mount Base]"/>
            <x15:cachedUniqueName index="271" name="[Super_Store_data].[Product Name].&amp;[Luxo Professional Magnifying Clamp-On Fluorescent Lamps]"/>
            <x15:cachedUniqueName index="272" name="[Super_Store_data].[Product Name].&amp;[Magna Visual Magnetic Picture Hangers]"/>
            <x15:cachedUniqueName index="273" name="[Super_Store_data].[Product Name].&amp;[Magnifier Swing Arm Lamp]"/>
            <x15:cachedUniqueName index="274" name="[Super_Store_data].[Product Name].&amp;[Master Big Foot Doorstop, Beige]"/>
            <x15:cachedUniqueName index="275" name="[Super_Store_data].[Product Name].&amp;[Master Caster Door Stop, Brown]"/>
            <x15:cachedUniqueName index="276" name="[Super_Store_data].[Product Name].&amp;[Master Caster Door Stop, Gray]"/>
            <x15:cachedUniqueName index="277" name="[Super_Store_data].[Product Name].&amp;[Master Caster Door Stop, Large Brown]"/>
            <x15:cachedUniqueName index="278" name="[Super_Store_data].[Product Name].&amp;[Master Caster Door Stop, Large Neon Orange]"/>
            <x15:cachedUniqueName index="279" name="[Super_Store_data].[Product Name].&amp;[Master Giant Foot Doorstop, Safety Yellow]"/>
            <x15:cachedUniqueName index="280" name="[Super_Store_data].[Product Name].&amp;[Metal Folding Chairs, Beige, 4/Carton]"/>
            <x15:cachedUniqueName index="281" name="[Super_Store_data].[Product Name].&amp;[Novimex Fabric Task Chair]"/>
            <x15:cachedUniqueName index="282" name="[Super_Store_data].[Product Name].&amp;[Novimex High-Tech Fabric Mesh Task Chair]"/>
            <x15:cachedUniqueName index="283" name="[Super_Store_data].[Product Name].&amp;[Novimex Swivel Fabric Task Chair]"/>
            <x15:cachedUniqueName index="284" name="[Super_Store_data].[Product Name].&amp;[Novimex Turbo Task Chair]"/>
            <x15:cachedUniqueName index="285" name="[Super_Store_data].[Product Name].&amp;[Nu-Dell Executive Frame]"/>
            <x15:cachedUniqueName index="286" name="[Super_Store_data].[Product Name].&amp;[Nu-Dell EZ-Mount Plastic Wall Frames]"/>
            <x15:cachedUniqueName index="287" name="[Super_Store_data].[Product Name].&amp;[Nu-Dell Float Frame 11 x 14 1/2]"/>
            <x15:cachedUniqueName index="288" name="[Super_Store_data].[Product Name].&amp;[Nu-Dell Leatherette Frames]"/>
            <x15:cachedUniqueName index="289" name="[Super_Store_data].[Product Name].&amp;[Nu-Dell Oak Frame]"/>
            <x15:cachedUniqueName index="290" name="[Super_Store_data].[Product Name].&amp;[Office Impressions End Table, 20-1/2&quot;H x 24&quot;W x 20&quot;D]"/>
            <x15:cachedUniqueName index="291" name="[Super_Store_data].[Product Name].&amp;[Office Star - Contemporary Swivel Chair with Padded Adjustable Arms and Flex Back]"/>
            <x15:cachedUniqueName index="292" name="[Super_Store_data].[Product Name].&amp;[Office Star - Contemporary Task Swivel Chair]"/>
            <x15:cachedUniqueName index="293" name="[Super_Store_data].[Product Name].&amp;[Office Star - Contemporary Task Swivel chair with 2-way adjustable arms, Plum]"/>
            <x15:cachedUniqueName index="294" name="[Super_Store_data].[Product Name].&amp;[Office Star - Contemporary Task Swivel chair with Loop Arms, Charcoal]"/>
            <x15:cachedUniqueName index="295" name="[Super_Store_data].[Product Name].&amp;[Office Star - Ergonomic Mid Back Chair with 2-Way Adjustable Arms]"/>
            <x15:cachedUniqueName index="296" name="[Super_Store_data].[Product Name].&amp;[Office Star - Ergonomically Designed Knee Chair]"/>
            <x15:cachedUniqueName index="297" name="[Super_Store_data].[Product Name].&amp;[Office Star - Mesh Screen back chair with Vinyl seat]"/>
            <x15:cachedUniqueName index="298" name="[Super_Store_data].[Product Name].&amp;[Office Star - Mid Back Dual function Ergonomic High Back Chair with 2-Way Adjustable Arms]"/>
            <x15:cachedUniqueName index="299" name="[Super_Store_data].[Product Name].&amp;[Office Star - Professional Matrix Back Chair with 2-to-1 Synchro Tilt and Mesh Fabric Seat]"/>
            <x15:cachedUniqueName index="300" name="[Super_Store_data].[Product Name].&amp;[Office Star - Task Chair with Contemporary Loop Arms]"/>
            <x15:cachedUniqueName index="301" name="[Super_Store_data].[Product Name].&amp;[Office Star Flex Back Scooter Chair with Aluminum Finish Frame]"/>
            <x15:cachedUniqueName index="302" name="[Super_Store_data].[Product Name].&amp;[Office Star Flex Back Scooter Chair with White Frame]"/>
            <x15:cachedUniqueName index="303" name="[Super_Store_data].[Product Name].&amp;[OIC Stacking Trays]"/>
            <x15:cachedUniqueName index="304" name="[Super_Store_data].[Product Name].&amp;[O'Sullivan 2-Door Barrister Bookcase in Odessa Pine]"/>
            <x15:cachedUniqueName index="305" name="[Super_Store_data].[Product Name].&amp;[O'Sullivan 2-Shelf Heavy-Duty Bookcases]"/>
            <x15:cachedUniqueName index="306" name="[Super_Store_data].[Product Name].&amp;[O'Sullivan 3-Shelf Heavy-Duty Bookcases]"/>
            <x15:cachedUniqueName index="307" name="[Super_Store_data].[Product Name].&amp;[O'Sullivan 4-Shelf Bookcase in Odessa Pine]"/>
            <x15:cachedUniqueName index="308" name="[Super_Store_data].[Product Name].&amp;[O'Sullivan 5-Shelf Heavy-Duty Bookcases]"/>
            <x15:cachedUniqueName index="309" name="[Super_Store_data].[Product Name].&amp;[O'Sullivan Cherrywood Estates Traditional Barrister Bookcase]"/>
            <x15:cachedUniqueName index="310" name="[Super_Store_data].[Product Name].&amp;[O'Sullivan Cherrywood Estates Traditional Bookcase]"/>
            <x15:cachedUniqueName index="311" name="[Super_Store_data].[Product Name].&amp;[O'Sullivan Elevations Bookcase, Cherry Finish]"/>
            <x15:cachedUniqueName index="312" name="[Super_Store_data].[Product Name].&amp;[O'Sullivan Living Dimensions 2-Shelf Bookcases]"/>
            <x15:cachedUniqueName index="313" name="[Super_Store_data].[Product Name].&amp;[O'Sullivan Living Dimensions 3-Shelf Bookcases]"/>
            <x15:cachedUniqueName index="314" name="[Super_Store_data].[Product Name].&amp;[O'Sullivan Living Dimensions 5-Shelf Bookcases]"/>
            <x15:cachedUniqueName index="315" name="[Super_Store_data].[Product Name].&amp;[O'Sullivan Manor Hill 2-Door Library in Brianna Oak]"/>
            <x15:cachedUniqueName index="316" name="[Super_Store_data].[Product Name].&amp;[O'Sullivan Plantations 2-Door Library in Landvery Oak]"/>
            <x15:cachedUniqueName index="317" name="[Super_Store_data].[Product Name].&amp;[Padded Folding Chairs, Black, 4/Carton]"/>
            <x15:cachedUniqueName index="318" name="[Super_Store_data].[Product Name].&amp;[Regeneration Desk Collection]"/>
            <x15:cachedUniqueName index="319" name="[Super_Store_data].[Product Name].&amp;[Riverside Furniture Oval Coffee Table, Oval End Table, End Table with Drawer]"/>
            <x15:cachedUniqueName index="320" name="[Super_Store_data].[Product Name].&amp;[Riverside Furniture Stanwyck Manor Table Series]"/>
            <x15:cachedUniqueName index="321" name="[Super_Store_data].[Product Name].&amp;[Riverside Palais Royal Lawyers Bookcase, Royale Cherry Finish]"/>
            <x15:cachedUniqueName index="322" name="[Super_Store_data].[Product Name].&amp;[Rubbermaid ClusterMat Chairmats, Mat Size- 66&quot; x 60&quot;, Lip 20&quot; x 11&quot; -90 Degree Angle]"/>
            <x15:cachedUniqueName index="323" name="[Super_Store_data].[Product Name].&amp;[Rush Hierlooms Collection 1&quot; Thick Stackable Bookcases]"/>
            <x15:cachedUniqueName index="324" name="[Super_Store_data].[Product Name].&amp;[Rush Hierlooms Collection Rich Wood Bookcases]"/>
            <x15:cachedUniqueName index="325" name="[Super_Store_data].[Product Name].&amp;[SAFCO Arco Folding Chair]"/>
            <x15:cachedUniqueName index="326" name="[Super_Store_data].[Product Name].&amp;[Safco Chair Connectors, 6/Carton]"/>
            <x15:cachedUniqueName index="327" name="[Super_Store_data].[Product Name].&amp;[Safco Contoured Stacking Chairs]"/>
            <x15:cachedUniqueName index="328" name="[Super_Store_data].[Product Name].&amp;[Safco Drafting Table]"/>
            <x15:cachedUniqueName index="329" name="[Super_Store_data].[Product Name].&amp;[SAFCO Folding Chair Trolley]"/>
            <x15:cachedUniqueName index="330" name="[Super_Store_data].[Product Name].&amp;[SAFCO Optional Arm Kit for Workspace Cribbage Stacking Chair]"/>
            <x15:cachedUniqueName index="331" name="[Super_Store_data].[Product Name].&amp;[SAFCO PlanMaster Boards, 60w x 37-1/2d, White Melamine]"/>
            <x15:cachedUniqueName index="332" name="[Super_Store_data].[Product Name].&amp;[SAFCO PlanMaster Heigh-Adjustable Drafting Table Base, 43w x 30d x 30-37h, Black]"/>
            <x15:cachedUniqueName index="333" name="[Super_Store_data].[Product Name].&amp;[Safco Value Mate Series Steel Bookcases, Baked Enamel Finish on Steel, Gray]"/>
            <x15:cachedUniqueName index="334" name="[Super_Store_data].[Product Name].&amp;[Safco Value Mate Steel Bookcase, Baked Enamel Finish on Steel, Black]"/>
            <x15:cachedUniqueName index="335" name="[Super_Store_data].[Product Name].&amp;[Sauder Barrister Bookcases]"/>
            <x15:cachedUniqueName index="336" name="[Super_Store_data].[Product Name].&amp;[Sauder Camden County Barrister Bookcase, Planked Cherry Finish]"/>
            <x15:cachedUniqueName index="337" name="[Super_Store_data].[Product Name].&amp;[Sauder Camden County Collection Libraries, Planked Cherry Finish]"/>
            <x15:cachedUniqueName index="338" name="[Super_Store_data].[Product Name].&amp;[Sauder Camden County Collection Library]"/>
            <x15:cachedUniqueName index="339" name="[Super_Store_data].[Product Name].&amp;[Sauder Cornerstone Collection Library]"/>
            <x15:cachedUniqueName index="340" name="[Super_Store_data].[Product Name].&amp;[Sauder Facets Collection Library, Sky Alder Finish]"/>
            <x15:cachedUniqueName index="341" name="[Super_Store_data].[Product Name].&amp;[Sauder Forest Hills Library with Doors, Woodland Oak Finish]"/>
            <x15:cachedUniqueName index="342" name="[Super_Store_data].[Product Name].&amp;[Sauder Forest Hills Library, Woodland Oak Finish]"/>
            <x15:cachedUniqueName index="343" name="[Super_Store_data].[Product Name].&amp;[Sauder Inglewood Library Bookcases]"/>
            <x15:cachedUniqueName index="344" name="[Super_Store_data].[Product Name].&amp;[Sauder Mission Library with Doors, Fruitwood Finish]"/>
            <x15:cachedUniqueName index="345" name="[Super_Store_data].[Product Name].&amp;[Seth Thomas 12&quot; Clock w/ Goldtone Case]"/>
            <x15:cachedUniqueName index="346" name="[Super_Store_data].[Product Name].&amp;[Seth Thomas 13 1/2&quot; Wall Clock]"/>
            <x15:cachedUniqueName index="347" name="[Super_Store_data].[Product Name].&amp;[Seth Thomas 14&quot; Day/Date Wall Clock]"/>
            <x15:cachedUniqueName index="348" name="[Super_Store_data].[Product Name].&amp;[Seth Thomas 14&quot; Putty-Colored Wall Clock]"/>
            <x15:cachedUniqueName index="349" name="[Super_Store_data].[Product Name].&amp;[Seth Thomas 16&quot; Steel Case Clock]"/>
            <x15:cachedUniqueName index="350" name="[Super_Store_data].[Product Name].&amp;[Seth Thomas 8 1/2&quot; Cubicle Clock]"/>
            <x15:cachedUniqueName index="351" name="[Super_Store_data].[Product Name].&amp;[Situations Contoured Folding Chairs, 4/Set]"/>
            <x15:cachedUniqueName index="352" name="[Super_Store_data].[Product Name].&amp;[Stackable Trays]"/>
            <x15:cachedUniqueName index="353" name="[Super_Store_data].[Product Name].&amp;[Stacking Tray, Side-Loading, Legal, Smoke]"/>
            <x15:cachedUniqueName index="354" name="[Super_Store_data].[Product Name].&amp;[Stacking Trays by OIC]"/>
            <x15:cachedUniqueName index="355" name="[Super_Store_data].[Product Name].&amp;[Staple-based wall hangings]"/>
            <x15:cachedUniqueName index="356" name="[Super_Store_data].[Product Name].&amp;[Telescoping Adjustable Floor Lamp]"/>
            <x15:cachedUniqueName index="357" name="[Super_Store_data].[Product Name].&amp;[Tenex &quot;The Solids&quot; Textured Chair Mats]"/>
            <x15:cachedUniqueName index="358" name="[Super_Store_data].[Product Name].&amp;[Tenex 46&quot; x 60&quot; Computer Anti-Static Chairmat, Rectangular Shaped]"/>
            <x15:cachedUniqueName index="359" name="[Super_Store_data].[Product Name].&amp;[Tenex Antistatic Computer Chair Mats]"/>
            <x15:cachedUniqueName index="360" name="[Super_Store_data].[Product Name].&amp;[Tenex B1-RE Series Chair Mats for Low Pile Carpets]"/>
            <x15:cachedUniqueName index="361" name="[Super_Store_data].[Product Name].&amp;[Tenex Carpeted, Granite-Look or Clear Contemporary Contour Shape Chair Mats]"/>
            <x15:cachedUniqueName index="362" name="[Super_Store_data].[Product Name].&amp;[Tenex Chairmat w/ Average Lip, 45&quot; x 53&quot;]"/>
            <x15:cachedUniqueName index="363" name="[Super_Store_data].[Product Name].&amp;[Tenex Chairmats For Use With Carpeted Floors]"/>
            <x15:cachedUniqueName index="364" name="[Super_Store_data].[Product Name].&amp;[Tenex Chairmats For Use with Hard Floors]"/>
            <x15:cachedUniqueName index="365" name="[Super_Store_data].[Product Name].&amp;[Tenex Contemporary Contur Chairmats for Low and Medium Pile Carpet, Computer, 39&quot; x 49&quot;]"/>
            <x15:cachedUniqueName index="366" name="[Super_Store_data].[Product Name].&amp;[Tenex Traditional Chairmats for Hard Floors, Average Lip, 36&quot; x 48&quot;]"/>
            <x15:cachedUniqueName index="367" name="[Super_Store_data].[Product Name].&amp;[Tenex Traditional Chairmats for Medium Pile Carpet, Standard Lip, 36&quot; x 48&quot;]"/>
            <x15:cachedUniqueName index="368" name="[Super_Store_data].[Product Name].&amp;[Tenex V2T-RE Standard Weight Series Chair Mat, 45&quot; x 53&quot;, Lip 25&quot; x 12&quot;]"/>
            <x15:cachedUniqueName index="369" name="[Super_Store_data].[Product Name].&amp;[Tensor &quot;Hersey Kiss&quot; Styled Floor Lamp]"/>
            <x15:cachedUniqueName index="370" name="[Super_Store_data].[Product Name].&amp;[Tensor Brushed Steel Torchiere Floor Lamp]"/>
            <x15:cachedUniqueName index="371" name="[Super_Store_data].[Product Name].&amp;[Tensor Computer Mounted Lamp]"/>
            <x15:cachedUniqueName index="372" name="[Super_Store_data].[Product Name].&amp;[Tensor Track Tree Floor Lamp]"/>
            <x15:cachedUniqueName index="373" name="[Super_Store_data].[Product Name].&amp;[Ultra Commercial Grade Dual Valve Door Closer]"/>
            <x15:cachedUniqueName index="374" name="[Super_Store_data].[Product Name].&amp;[Ultra Door Kickplate, 8&quot;H x 34&quot;W]"/>
            <x15:cachedUniqueName index="375" name="[Super_Store_data].[Product Name].&amp;[Ultra Door Pull Handle]"/>
            <x15:cachedUniqueName index="376" name="[Super_Store_data].[Product Name].&amp;[Ultra Door Push Plate]"/>
            <x15:cachedUniqueName index="377" name="[Super_Store_data].[Product Name].&amp;[Westinghouse Clip-On Gooseneck Lamps]"/>
            <x15:cachedUniqueName index="378" name="[Super_Store_data].[Product Name].&amp;[Westinghouse Floor Lamp with Metal Mesh Shade, Black]"/>
            <x15:cachedUniqueName index="379" name="[Super_Store_data].[Product Name].&amp;[Westinghouse Mesh Shade Clip-On Gooseneck Lamp, Black]"/>
          </x15:cachedUniqueNames>
        </ext>
      </extLst>
    </cacheField>
    <cacheField name="[Measures].[AdjustedKPIs]" caption="AdjustedKPIs" numFmtId="0" hierarchy="68"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1"/>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2"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2"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2"/>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0"/>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oneField="1">
      <fieldsUsage count="1">
        <fieldUsage x="3"/>
      </fieldsUsage>
    </cacheHierarchy>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520949071" backgroundQuery="1" createdVersion="8" refreshedVersion="8" minRefreshableVersion="3" recordCount="0" supportSubquery="1" supportAdvancedDrill="1" xr:uid="{8891F0E9-31BC-4D84-94DB-DCABE2363440}">
  <cacheSource type="external" connectionId="6"/>
  <cacheFields count="8">
    <cacheField name="[View].[View].[View]" caption="View" numFmtId="0" hierarchy="41" level="1">
      <sharedItems containsSemiMixedTypes="0" containsNonDate="0" containsString="0"/>
    </cacheField>
    <cacheField name="[Calendar].[Date (Year)].[Date (Year)]" caption="Date (Year)" numFmtId="0" hierarchy="8" level="1">
      <sharedItems count="2">
        <s v="2015"/>
        <s v="2014" u="1"/>
      </sharedItems>
      <extLst>
        <ext xmlns:x15="http://schemas.microsoft.com/office/spreadsheetml/2010/11/main" uri="{4F2E5C28-24EA-4eb8-9CBF-B6C8F9C3D259}">
          <x15:cachedUniqueNames>
            <x15:cachedUniqueName index="0" name="[Calendar].[Date (Year)].&amp;[2015]"/>
            <x15:cachedUniqueName index="1" name="[Calendar].[Date (Year)].&amp;[2014]"/>
          </x15:cachedUniqueNames>
        </ext>
      </extLst>
    </cacheField>
    <cacheField name="[Super_Store_data].[Product Name].[Product Name]" caption="Product Name" numFmtId="0" hierarchy="32" level="1">
      <sharedItems count="380">
        <s v="12-1/2 Diameter Round Wall Clock"/>
        <s v="24-Hour Round Wall Clock"/>
        <s v="36X48 HARDFLOOR CHAIRMAT"/>
        <s v="3M Hangers With Command Adhesive"/>
        <s v="3M Polarizing Light Filter Sleeves"/>
        <s v="3M Polarizing Task Lamp with Clamp Arm, Light Gray"/>
        <s v="6&quot; Cubicle Wall Clock, Black"/>
        <s v="9-3/4 Diameter Round Wall Clock"/>
        <s v="Acrylic Self-Standing Desk Frames"/>
        <s v="Advantus Employee of the Month Certificate Frame, 11 x 13-1/2"/>
        <s v="Advantus Panel Wall Acrylic Frame"/>
        <s v="Advantus Panel Wall Certificate Holder - 8.5x11"/>
        <s v="Aluminum Document Frame"/>
        <s v="Anderson Hickey Conga Table Tops &amp; Accessories"/>
        <s v="Artistic Insta-Plaque"/>
        <s v="Atlantic Metals Mobile 2-Shelf Bookcases, Custom Colors"/>
        <s v="Atlantic Metals Mobile 3-Shelf Bookcases, Custom Colors"/>
        <s v="Atlantic Metals Mobile 4-Shelf Bookcases, Custom Colors"/>
        <s v="Atlantic Metals Mobile 5-Shelf Bookcases, Custom Colors"/>
        <s v="Balt Solid Wood Rectangular Table"/>
        <s v="Balt Solid Wood Round Tables"/>
        <s v="Balt Split Level Computer Training Table"/>
        <s v="Barricks 18&quot; x 48&quot; Non-Folding Utility Table with Bottom Storage Shelf"/>
        <s v="Barricks Non-Folding Utility Table with Steel Legs, Laminate Tops"/>
        <s v="Bestar Classic Bookcase"/>
        <s v="Bevis 36 x 72 Conference Tables"/>
        <s v="Bevis 44 x 96 Conference Tables"/>
        <s v="Bevis Boat-Shaped Conference Table"/>
        <s v="Bevis Oval Conference Table, Walnut"/>
        <s v="Bevis Rectangular Conference Tables"/>
        <s v="Bevis Round Bullnose 29&quot; High Table Top"/>
        <s v="Bevis Round Conference Room Tables and Bases"/>
        <s v="Bevis Round Conference Table Top &amp; Single Column Base"/>
        <s v="Bevis Round Conference Table Top, X-Base"/>
        <s v="Bevis Steel Folding Chairs"/>
        <s v="Bevis Traditional Conference Table Top, Plinth Base"/>
        <s v="BoxOffice By Design Rectangular and Half-Moon Meeting Room Tables"/>
        <s v="BPI Conference Tables"/>
        <s v="Bretford CR4500 Series Slim Rectangular Table"/>
        <s v="Bretford CR8500 Series Meeting Room Furniture"/>
        <s v="Bretford ÒJust In TimeÓ Height-Adjustable Multi-Task Work Tables"/>
        <s v="Bretford Rectangular Conference Table Tops"/>
        <s v="Bush Advantage Collection Racetrack Conference Table"/>
        <s v="Bush Advantage Collection Round Conference Table"/>
        <s v="Bush Andora Bookcase, Maple/Graphite Gray Finish"/>
        <s v="Bush Andora Conference Table, Maple/Graphite Gray Finish"/>
        <s v="Bush Birmingham Collection Bookcase, Dark Cherry"/>
        <s v="Bush Cubix Collection Bookcases, Fully Assembled"/>
        <s v="Bush Cubix Conference Tables, Fully Assembled"/>
        <s v="Bush Heritage Pine Collection 5-Shelf Bookcase, Albany Pine Finish, *Special Order"/>
        <s v="Bush Mission Pointe Library"/>
        <s v="Bush Saratoga Collection 5-Shelf Bookcase, Hanover Cherry, *Special Order"/>
        <s v="Bush Somerset Collection Bookcase"/>
        <s v="Bush Westfield Collection Bookcases, Dark Cherry Finish"/>
        <s v="Bush Westfield Collection Bookcases, Dark Cherry Finish, Fully Assembled"/>
        <s v="Bush Westfield Collection Bookcases, Fully Assembled"/>
        <s v="Bush Westfield Collection Bookcases, Medium Cherry Finish"/>
        <s v="Career Cubicle Clock, 8 1/4&quot;, Black"/>
        <s v="Chromcraft 48&quot; x 96&quot; Racetrack Double Pedestal Table"/>
        <s v="Chromcraft Bull-Nose Wood 48&quot; x 96&quot; Rectangular Conference Tables"/>
        <s v="Chromcraft Bull-Nose Wood Oval Conference Tables &amp; Bases"/>
        <s v="Chromcraft Bull-Nose Wood Round Conference Table Top, Wood Base"/>
        <s v="Chromcraft Rectangular Conference Tables"/>
        <s v="Chromcraft Round Conference Tables"/>
        <s v="C-Line Cubicle Keepers Polyproplyene Holder w/Velcro Back, 8-1/2x11, 25/Bx"/>
        <s v="C-Line Cubicle Keepers Polyproplyene Holder With Velcro Backings"/>
        <s v="C-Line Magnetic Cubicle Keepers, Clear Polypropylene"/>
        <s v="Coloredge Poster Frame"/>
        <s v="Computer Room Manger, 14&quot;"/>
        <s v="Contemporary Borderless Frame"/>
        <s v="Contemporary Wood/Metal Frame"/>
        <s v="Contract Clock, 14&quot;, Brown"/>
        <s v="Dana Fluorescent Magnifying Lamp, White, 36&quot;"/>
        <s v="Dana Halogen Swing-Arm Architect Lamp"/>
        <s v="Dana Swing-Arm Lamps"/>
        <s v="DataProducts Ampli Magnifier Task Lamp, Black,"/>
        <s v="DAX Black Cherry Wood-Tone Poster Frame"/>
        <s v="DAX Charcoal/Nickel-Tone Document Frame, 5 x 7"/>
        <s v="Dax Clear Box Frame"/>
        <s v="DAX Clear Channel Poster Frame"/>
        <s v="DAX Contemporary Wood Frame with Silver Metal Mat, Desktop, 11 x 14 Size"/>
        <s v="DAX Copper Panel Document Frame, 5 x 7 Size"/>
        <s v="DAX Cubicle Frames - 8x10"/>
        <s v="DAX Cubicle Frames, 8-1/2 x 11"/>
        <s v="DAX Executive Solid Wood Document Frame, Desktop or Hang, Mahogany, 5 x 7"/>
        <s v="DAX Metal Frame, Desktop, Stepped-Edge"/>
        <s v="DAX Natural Wood-Tone Poster Frame"/>
        <s v="DAX Solid Wood Frames"/>
        <s v="DAX Two-Tone Rosewood/Black Document Frame, Desktop, 5 x 7"/>
        <s v="DAX Two-Tone Silver Metal Document Frame"/>
        <s v="DAX Value U-Channel Document Frames, Easel Back"/>
        <s v="DAX Wood Document Frame"/>
        <s v="DAX Wood Document Frame."/>
        <s v="Deflect-o DuraMat Antistatic Studded Beveled Mat for Medium Pile Carpeting"/>
        <s v="Deflect-o DuraMat Lighweight, Studded, Beveled Mat for Low Pile Carpeting"/>
        <s v="Deflect-o EconoMat Nonstudded, No Bevel Mat"/>
        <s v="Deflect-o EconoMat Studded, No Bevel Mat for Low Pile Carpeting"/>
        <s v="Deflect-o Glass Clear Studded Chair Mats"/>
        <s v="Deflect-O Glasstique Clear Desk Accessories"/>
        <s v="Deflect-o RollaMat Studded, Beveled Mat for Medium Pile Carpeting"/>
        <s v="Deflect-o SuperTray Unbreakable Stackable Tray, Letter, Black"/>
        <s v="DMI Arturo Collection Mission-style Design Wood Chair"/>
        <s v="DMI Eclipse Executive Suite Bookcases"/>
        <s v="Document Clip Frames"/>
        <s v="Eldon &quot;L&quot; Workstation Diamond Chairmat"/>
        <s v="Eldon 100 Class Desk Accessories"/>
        <s v="Eldon 200 Class Desk Accessories"/>
        <s v="Eldon 200 Class Desk Accessories, Black"/>
        <s v="Eldon 200 Class Desk Accessories, Burgundy"/>
        <s v="Eldon 200 Class Desk Accessories, Smoke"/>
        <s v="Eldon 300 Class Desk Accessories, Black"/>
        <s v="Eldon 400 Class Desk Accessories, Black Carbon"/>
        <s v="Eldon 500 Class Desk Accessories"/>
        <s v="Eldon Advantage Chair Mats for Low to Medium Pile Carpets"/>
        <s v="Eldon Advantage Foldable Chair Mats for Low Pile Carpets"/>
        <s v="Eldon Antistatic Chair Mats for Low to Medium Pile Carpets"/>
        <s v="Eldon Cleatmat Chair Mats for Medium Pile Carpets"/>
        <s v="Eldon Cleatmat Plus Chair Mats for High Pile Carpets"/>
        <s v="Eldon ClusterMat Chair Mat with Cordless Antistatic Protection"/>
        <s v="Eldon Delta Triangular Chair Mat, 52&quot; x 58&quot;, Clear"/>
        <s v="Eldon Econocleat Chair Mats for Low Pile Carpets"/>
        <s v="Eldon Executive Woodline II Cherry Finish Desk Accessories"/>
        <s v="Eldon Executive Woodline II Desk Accessories, Mahogany"/>
        <s v="Eldon Expressions Desk Accessory, Wood Pencil Holder, Oak"/>
        <s v="Eldon Expressions Desk Accessory, Wood Photo Frame, Mahogany"/>
        <s v="Eldon Expressions Mahogany Wood Desk Collection"/>
        <s v="Eldon Expressions Punched Metal &amp; Wood Desk Accessories, Black &amp; Cherry"/>
        <s v="Eldon Expressions Punched Metal &amp; Wood Desk Accessories, Pewter &amp; Cherry"/>
        <s v="Eldon Expressions Wood and Plastic Desk Accessories, Cherry Wood"/>
        <s v="Eldon Expressions Wood and Plastic Desk Accessories, Oak"/>
        <s v="Eldon Expressions Wood Desk Accessories, Oak"/>
        <s v="Eldon Imˆge Series Desk Accessories, Clear"/>
        <s v="Eldon Image Series Black Desk Accessories"/>
        <s v="Eldon Image Series Desk Accessories, Burgundy"/>
        <s v="Eldon Image Series Desk Accessories, Ebony"/>
        <s v="Eldon Pizzaz Desk Accessories"/>
        <s v="Eldon Radial Chair Mat for Low to Medium Pile Carpets"/>
        <s v="Eldon Regeneration Recycled Desk Accessories, Black"/>
        <s v="Eldon Regeneration Recycled Desk Accessories, Smoke"/>
        <s v="Eldon Stackable Tray, Side-Load, Legal, Smoke"/>
        <s v="Eldon Wave Desk Accessories"/>
        <s v="Electrix 20W Halogen Replacement Bulb for Zoom-In Desk Lamp"/>
        <s v="Electrix Architect's Clamp-On Swing Arm Lamp, Black"/>
        <s v="Electrix Fluorescent Magnifier Lamps &amp; Weighted Base"/>
        <s v="Electrix Halogen Magnifier Lamp"/>
        <s v="Electrix Incandescent Magnifying Lamp, Black"/>
        <s v="Executive Impressions 10&quot; Spectator Wall Clock"/>
        <s v="Executive Impressions 12&quot; Wall Clock"/>
        <s v="Executive Impressions 13&quot; Chairman Wall Clock"/>
        <s v="Executive Impressions 13&quot; Clairmont Wall Clock"/>
        <s v="Executive Impressions 13-1/2&quot; Indoor/Outdoor Wall Clock"/>
        <s v="Executive Impressions 14&quot;"/>
        <s v="Executive Impressions 14&quot; Contract Wall Clock"/>
        <s v="Executive Impressions 14&quot; Contract Wall Clock with Quartz Movement"/>
        <s v="Executive Impressions 14&quot; Two-Color Numerals Wall Clock"/>
        <s v="Executive Impressions 16-1/2&quot; Circular Wall Clock"/>
        <s v="Executive Impressions 8-1/2&quot; Career Panel/Partition Cubicle Clock"/>
        <s v="Executive Impressions Supervisor Wall Clock"/>
        <s v="Flat Face Poster Frame"/>
        <s v="Floodlight Indoor Halogen Bulbs, 1 Bulb per Pack, 60 Watts"/>
        <s v="G.E. Halogen Desk Lamp Bulbs"/>
        <s v="G.E. Longer-Life Indoor Recessed Floodlight Bulbs"/>
        <s v="GE 4 Foot Flourescent Tube, 40 Watt"/>
        <s v="GE 48&quot; Fluorescent Tube, Cool White Energy Saver, 34 Watts, 30/Box"/>
        <s v="GE General Purpose, Extra Long Life, Showcase &amp; Floodlight Incandescent Bulbs"/>
        <s v="GE General Use Halogen Bulbs, 100 Watts, 1 Bulb per Pack"/>
        <s v="Global Adaptabilites Bookcase, Cherry/Storm Gray Finish"/>
        <s v="Global Adaptabilities Conference Tables"/>
        <s v="Global Airflow Leather Mesh Back Chair, Black"/>
        <s v="Global Armless Task Chair, Royal Blue"/>
        <s v="Global Chrome Stack Chair"/>
        <s v="Global Comet Stacking Arm Chair"/>
        <s v="Global Comet Stacking Armless Chair"/>
        <s v="Global Commerce Series High-Back Swivel/Tilt Chairs"/>
        <s v="Global Commerce Series Low-Back Swivel/Tilt Chairs"/>
        <s v="Global Deluxe High-Back Manager's Chair"/>
        <s v="Global Deluxe High-Back Office Chair in Storm"/>
        <s v="Global Deluxe Office Fabric Chairs"/>
        <s v="Global Deluxe Stacking Chair, Gray"/>
        <s v="Global Deluxe Steno Chair"/>
        <s v="Global Enterprise Series Seating High-Back Swivel/Tilt Chairs"/>
        <s v="Global Enterprise Series Seating Low-Back Swivel/Tilt Chairs"/>
        <s v="Global Ergonomic Managers Chair"/>
        <s v="Global Executive Mid-Back Manager's Chair"/>
        <s v="Global Fabric Manager's Chair, Dark Gray"/>
        <s v="Global Geo Office Task Chair, Gray"/>
        <s v="Global Highback Leather Tilter in Burgundy"/>
        <s v="Global High-Back Leather Tilter, Burgundy"/>
        <s v="Global Italian Leather Office Chair"/>
        <s v="Global Leather &amp; Oak Executive Chair, Burgundy"/>
        <s v="Global Leather and Oak Executive Chair, Black"/>
        <s v="Global Leather Executive Chair"/>
        <s v="Global Leather Highback Executive Chair with Pneumatic Height Adjustment, Black"/>
        <s v="Global Leather Task Chair, Black"/>
        <s v="Global Low Back Tilter Chair"/>
        <s v="Global Manager's Adjustable Task Chair, Storm"/>
        <s v="Global Push Button Manager's Chair, Indigo"/>
        <s v="Global Stack Chair with Arms, Black"/>
        <s v="Global Stack Chair without Arms, Black"/>
        <s v="Global Super Steno Chair"/>
        <s v="Global Task Chair, Black"/>
        <s v="Global Troy Executive Leather Low-Back Tilter"/>
        <s v="Global Value Mid-Back Manager's Chair, Gray"/>
        <s v="Global Value Steno Chair, Gray"/>
        <s v="Global Wood Trimmed Manager's Task Chair, Khaki"/>
        <s v="GuestStacker Chair with Chrome Finish Legs"/>
        <s v="Hand-Finished Solid Wood Document Frame"/>
        <s v="Harbour Creations 67200 Series Stacking Chairs"/>
        <s v="Harbour Creations Steel Folding Chair"/>
        <s v="High-Back Leather Manager's Chair"/>
        <s v="Hon 2090 ÒPillow SoftÓ Series Mid Back Swivel/Tilt Chairs"/>
        <s v="Hon 2111 Invitation Series Corner Table"/>
        <s v="Hon 2111 Invitation Series Straight Table"/>
        <s v="Hon 30&quot; x 60&quot; Table with Locking Drawer"/>
        <s v="Hon 4060 Series Tables"/>
        <s v="Hon 4070 Series Pagoda Armless Upholstered Stacking Chairs"/>
        <s v="Hon 4070 Series Pagoda Round Back Stacking Chairs"/>
        <s v="Hon 4700 Series Mobuis Mid-Back Task Chairs with Adjustable Arms"/>
        <s v="Hon 4-Shelf Metal Bookcases"/>
        <s v="Hon 5100 Series Wood Tables"/>
        <s v="HON 5400 Series Task Chairs for Big and Tall"/>
        <s v="Hon 61000 Series Interactive Training Tables"/>
        <s v="Hon 94000 Series Round Tables"/>
        <s v="Hon Comfortask Task/Swivel Chairs"/>
        <s v="Hon Deluxe Fabric Upholstered Stacking Chairs"/>
        <s v="Hon Deluxe Fabric Upholstered Stacking Chairs, Rounded Back"/>
        <s v="Hon Deluxe Fabric Upholstered Stacking Chairs, Squared Back"/>
        <s v="Hon Every-Day Chair Series Swivel Task Chairs"/>
        <s v="Hon Every-Day Series Multi-Task Chairs"/>
        <s v="Hon GuestStacker Chair"/>
        <s v="Hon Metal Bookcases, Black"/>
        <s v="Hon Metal Bookcases, Gray"/>
        <s v="Hon Metal Bookcases, Putty"/>
        <s v="Hon Mobius Operator's Chair"/>
        <s v="Hon Multipurpose Stacking Arm Chairs"/>
        <s v="Hon Non-Folding Utility Tables"/>
        <s v="Hon Olson Stacker Chairs"/>
        <s v="Hon Olson Stacker Stools"/>
        <s v="Hon Pagoda Stacking Chairs"/>
        <s v="Hon Practical Foundations 30 x 60 Training Table, Light Gray/Charcoal"/>
        <s v="Hon Racetrack Conference Tables"/>
        <s v="Hon Rectangular Conference Tables"/>
        <s v="Hon Valutask Swivel Chairs"/>
        <s v="Howard Miller 11-1/2&quot; Diameter Brentwood Wall Clock"/>
        <s v="Howard Miller 11-1/2&quot; Diameter Grantwood Wall Clock"/>
        <s v="Howard Miller 11-1/2&quot; Diameter Ridgewood Wall Clock"/>
        <s v="Howard Miller 12&quot; Round Wall Clock"/>
        <s v="Howard Miller 12-3/4 Diameter Accuwave DS  Wall Clock"/>
        <s v="Howard Miller 13&quot; Diameter Goldtone Round Wall Clock"/>
        <s v="Howard Miller 13&quot; Diameter Pewter Finish Round Wall Clock"/>
        <s v="Howard Miller 13-1/2&quot; Diameter Rosebrook Wall Clock"/>
        <s v="Howard Miller 13-3/4&quot; Diameter Brushed Chrome Round Wall Clock"/>
        <s v="Howard Miller 14-1/2&quot; Diameter Chrome Round Wall Clock"/>
        <s v="Howard Miller 16&quot; Diameter Gallery Wall Clock"/>
        <s v="Howard Miller Distant Time Traveler Alarm Clock"/>
        <s v="Iceberg Nesting Folding Chair, 19w x 6d x 43h"/>
        <s v="Iceberg OfficeWorks 42&quot; Round Tables"/>
        <s v="KI Adjustable-Height Table"/>
        <s v="KI Conference Tables"/>
        <s v="Laminate Occasional Tables"/>
        <s v="Leather Task Chair, Black"/>
        <s v="Lesro Round Back Collection Coffee Table, End Table"/>
        <s v="Lesro Sheffield Collection Coffee Table, End Table, Center Table, Corner Table"/>
        <s v="Lifetime Advantage Folding Chairs, 4/Carton"/>
        <s v="Linden 10&quot; Round Wall Clock, Black"/>
        <s v="Linden 12&quot; Wall Clock With Oak Frame"/>
        <s v="Longer-Life Soft White Bulbs"/>
        <s v="Luxo Adjustable Task Clamp Lamp"/>
        <s v="Luxo Economy Swing Arm Lamp"/>
        <s v="Luxo Professional Combination Clamp-On Lamps"/>
        <s v="Luxo Professional Fluorescent Magnifier Lamp with Clamp-Mount Base"/>
        <s v="Luxo Professional Magnifying Clamp-On Fluorescent Lamps"/>
        <s v="Magna Visual Magnetic Picture Hangers"/>
        <s v="Magnifier Swing Arm Lamp"/>
        <s v="Master Big Foot Doorstop, Beige"/>
        <s v="Master Caster Door Stop, Brown"/>
        <s v="Master Caster Door Stop, Gray"/>
        <s v="Master Caster Door Stop, Large Brown"/>
        <s v="Master Caster Door Stop, Large Neon Orange"/>
        <s v="Master Giant Foot Doorstop, Safety Yellow"/>
        <s v="Metal Folding Chairs, Beige, 4/Carton"/>
        <s v="Novimex Fabric Task Chair"/>
        <s v="Novimex High-Tech Fabric Mesh Task Chair"/>
        <s v="Novimex Swivel Fabric Task Chair"/>
        <s v="Novimex Turbo Task Chair"/>
        <s v="Nu-Dell Executive Frame"/>
        <s v="Nu-Dell EZ-Mount Plastic Wall Frames"/>
        <s v="Nu-Dell Float Frame 11 x 14 1/2"/>
        <s v="Nu-Dell Leatherette Frames"/>
        <s v="Nu-Dell Oak Frame"/>
        <s v="Office Impressions End Table, 20-1/2&quot;H x 24&quot;W x 20&quot;D"/>
        <s v="Office Star - Contemporary Swivel Chair with Padded Adjustable Arms and Flex Back"/>
        <s v="Office Star - Contemporary Task Swivel Chair"/>
        <s v="Office Star - Contemporary Task Swivel chair with 2-way adjustable arms, Plum"/>
        <s v="Office Star - Contemporary Task Swivel chair with Loop Arms, Charcoal"/>
        <s v="Office Star - Ergonomic Mid Back Chair with 2-Way Adjustable Arms"/>
        <s v="Office Star - Ergonomically Designed Knee Chair"/>
        <s v="Office Star - Mesh Screen back chair with Vinyl seat"/>
        <s v="Office Star - Mid Back Dual function Ergonomic High Back Chair with 2-Way Adjustable Arms"/>
        <s v="Office Star - Professional Matrix Back Chair with 2-to-1 Synchro Tilt and Mesh Fabric Seat"/>
        <s v="Office Star - Task Chair with Contemporary Loop Arms"/>
        <s v="Office Star Flex Back Scooter Chair with Aluminum Finish Frame"/>
        <s v="Office Star Flex Back Scooter Chair with White Frame"/>
        <s v="OIC Stacking Trays"/>
        <s v="O'Sullivan 2-Door Barrister Bookcase in Odessa Pine"/>
        <s v="O'Sullivan 2-Shelf Heavy-Duty Bookcases"/>
        <s v="O'Sullivan 3-Shelf Heavy-Duty Bookcases"/>
        <s v="O'Sullivan 4-Shelf Bookcase in Odessa Pine"/>
        <s v="O'Sullivan 5-Shelf Heavy-Duty Bookcases"/>
        <s v="O'Sullivan Cherrywood Estates Traditional Barrister Bookcase"/>
        <s v="O'Sullivan Cherrywood Estates Traditional Bookcase"/>
        <s v="O'Sullivan Elevations Bookcase, Cherry Finish"/>
        <s v="O'Sullivan Living Dimensions 2-Shelf Bookcases"/>
        <s v="O'Sullivan Living Dimensions 3-Shelf Bookcases"/>
        <s v="O'Sullivan Living Dimensions 5-Shelf Bookcases"/>
        <s v="O'Sullivan Manor Hill 2-Door Library in Brianna Oak"/>
        <s v="O'Sullivan Plantations 2-Door Library in Landvery Oak"/>
        <s v="Padded Folding Chairs, Black, 4/Carton"/>
        <s v="Regeneration Desk Collection"/>
        <s v="Riverside Furniture Oval Coffee Table, Oval End Table, End Table with Drawer"/>
        <s v="Riverside Furniture Stanwyck Manor Table Series"/>
        <s v="Riverside Palais Royal Lawyers Bookcase, Royale Cherry Finish"/>
        <s v="Rubbermaid ClusterMat Chairmats, Mat Size- 66&quot; x 60&quot;, Lip 20&quot; x 11&quot; -90 Degree Angle"/>
        <s v="Rush Hierlooms Collection 1&quot; Thick Stackable Bookcases"/>
        <s v="Rush Hierlooms Collection Rich Wood Bookcases"/>
        <s v="SAFCO Arco Folding Chair"/>
        <s v="Safco Chair Connectors, 6/Carton"/>
        <s v="Safco Contoured Stacking Chairs"/>
        <s v="Safco Drafting Table"/>
        <s v="SAFCO Folding Chair Trolley"/>
        <s v="SAFCO Optional Arm Kit for Workspace Cribbage Stacking Chair"/>
        <s v="SAFCO PlanMaster Boards, 60w x 37-1/2d, White Melamine"/>
        <s v="SAFCO PlanMaster Heigh-Adjustable Drafting Table Base, 43w x 30d x 30-37h, Black"/>
        <s v="Safco Value Mate Series Steel Bookcases, Baked Enamel Finish on Steel, Gray"/>
        <s v="Safco Value Mate Steel Bookcase, Baked Enamel Finish on Steel, Black"/>
        <s v="Sauder Barrister Bookcases"/>
        <s v="Sauder Camden County Barrister Bookcase, Planked Cherry Finish"/>
        <s v="Sauder Camden County Collection Libraries, Planked Cherry Finish"/>
        <s v="Sauder Camden County Collection Library"/>
        <s v="Sauder Cornerstone Collection Library"/>
        <s v="Sauder Facets Collection Library, Sky Alder Finish"/>
        <s v="Sauder Forest Hills Library with Doors, Woodland Oak Finish"/>
        <s v="Sauder Forest Hills Library, Woodland Oak Finish"/>
        <s v="Sauder Inglewood Library Bookcases"/>
        <s v="Sauder Mission Library with Doors, Fruitwood Finish"/>
        <s v="Seth Thomas 12&quot; Clock w/ Goldtone Case"/>
        <s v="Seth Thomas 13 1/2&quot; Wall Clock"/>
        <s v="Seth Thomas 14&quot; Day/Date Wall Clock"/>
        <s v="Seth Thomas 14&quot; Putty-Colored Wall Clock"/>
        <s v="Seth Thomas 16&quot; Steel Case Clock"/>
        <s v="Seth Thomas 8 1/2&quot; Cubicle Clock"/>
        <s v="Situations Contoured Folding Chairs, 4/Set"/>
        <s v="Stackable Trays"/>
        <s v="Stacking Tray, Side-Loading, Legal, Smoke"/>
        <s v="Stacking Trays by OIC"/>
        <s v="Staple-based wall hangings"/>
        <s v="Telescoping Adjustable Floor Lamp"/>
        <s v="Tenex &quot;The Solids&quot; Textured Chair Mats"/>
        <s v="Tenex 46&quot; x 60&quot; Computer Anti-Static Chairmat, Rectangular Shaped"/>
        <s v="Tenex Antistatic Computer Chair Mats"/>
        <s v="Tenex B1-RE Series Chair Mats for Low Pile Carpets"/>
        <s v="Tenex Carpeted, Granite-Look or Clear Contemporary Contour Shape Chair Mats"/>
        <s v="Tenex Chairmat w/ Average Lip, 45&quot; x 53&quot;"/>
        <s v="Tenex Chairmats For Use With Carpeted Floors"/>
        <s v="Tenex Chairmats For Use with Hard Floors"/>
        <s v="Tenex Contemporary Contur Chairmats for Low and Medium Pile Carpet, Computer, 39&quot; x 49&quot;"/>
        <s v="Tenex Traditional Chairmats for Hard Floors, Average Lip, 36&quot; x 48&quot;"/>
        <s v="Tenex Traditional Chairmats for Medium Pile Carpet, Standard Lip, 36&quot; x 48&quot;"/>
        <s v="Tenex V2T-RE Standard Weight Series Chair Mat, 45&quot; x 53&quot;, Lip 25&quot; x 12&quot;"/>
        <s v="Tensor &quot;Hersey Kiss&quot; Styled Floor Lamp"/>
        <s v="Tensor Brushed Steel Torchiere Floor Lamp"/>
        <s v="Tensor Computer Mounted Lamp"/>
        <s v="Tensor Track Tree Floor Lamp"/>
        <s v="Ultra Commercial Grade Dual Valve Door Closer"/>
        <s v="Ultra Door Kickplate, 8&quot;H x 34&quot;W"/>
        <s v="Ultra Door Pull Handle"/>
        <s v="Ultra Door Push Plate"/>
        <s v="Westinghouse Clip-On Gooseneck Lamps"/>
        <s v="Westinghouse Floor Lamp with Metal Mesh Shade, Black"/>
        <s v="Westinghouse Mesh Shade Clip-On Gooseneck Lamp, Black"/>
      </sharedItems>
      <extLst>
        <ext xmlns:x15="http://schemas.microsoft.com/office/spreadsheetml/2010/11/main" uri="{4F2E5C28-24EA-4eb8-9CBF-B6C8F9C3D259}">
          <x15:cachedUniqueNames>
            <x15:cachedUniqueName index="0" name="[Super_Store_data].[Product Name].&amp;[12-1/2 Diameter Round Wall Clock]"/>
            <x15:cachedUniqueName index="1" name="[Super_Store_data].[Product Name].&amp;[24-Hour Round Wall Clock]"/>
            <x15:cachedUniqueName index="2" name="[Super_Store_data].[Product Name].&amp;[36X48 HARDFLOOR CHAIRMAT]"/>
            <x15:cachedUniqueName index="3" name="[Super_Store_data].[Product Name].&amp;[3M Hangers With Command Adhesive]"/>
            <x15:cachedUniqueName index="4" name="[Super_Store_data].[Product Name].&amp;[3M Polarizing Light Filter Sleeves]"/>
            <x15:cachedUniqueName index="5" name="[Super_Store_data].[Product Name].&amp;[3M Polarizing Task Lamp with Clamp Arm, Light Gray]"/>
            <x15:cachedUniqueName index="6" name="[Super_Store_data].[Product Name].&amp;[6&quot; Cubicle Wall Clock, Black]"/>
            <x15:cachedUniqueName index="7" name="[Super_Store_data].[Product Name].&amp;[9-3/4 Diameter Round Wall Clock]"/>
            <x15:cachedUniqueName index="8" name="[Super_Store_data].[Product Name].&amp;[Acrylic Self-Standing Desk Frames]"/>
            <x15:cachedUniqueName index="9" name="[Super_Store_data].[Product Name].&amp;[Advantus Employee of the Month Certificate Frame, 11 x 13-1/2]"/>
            <x15:cachedUniqueName index="10" name="[Super_Store_data].[Product Name].&amp;[Advantus Panel Wall Acrylic Frame]"/>
            <x15:cachedUniqueName index="11" name="[Super_Store_data].[Product Name].&amp;[Advantus Panel Wall Certificate Holder - 8.5x11]"/>
            <x15:cachedUniqueName index="12" name="[Super_Store_data].[Product Name].&amp;[Aluminum Document Frame]"/>
            <x15:cachedUniqueName index="13" name="[Super_Store_data].[Product Name].&amp;[Anderson Hickey Conga Table Tops &amp; Accessories]"/>
            <x15:cachedUniqueName index="14" name="[Super_Store_data].[Product Name].&amp;[Artistic Insta-Plaque]"/>
            <x15:cachedUniqueName index="15" name="[Super_Store_data].[Product Name].&amp;[Atlantic Metals Mobile 2-Shelf Bookcases, Custom Colors]"/>
            <x15:cachedUniqueName index="16" name="[Super_Store_data].[Product Name].&amp;[Atlantic Metals Mobile 3-Shelf Bookcases, Custom Colors]"/>
            <x15:cachedUniqueName index="17" name="[Super_Store_data].[Product Name].&amp;[Atlantic Metals Mobile 4-Shelf Bookcases, Custom Colors]"/>
            <x15:cachedUniqueName index="18" name="[Super_Store_data].[Product Name].&amp;[Atlantic Metals Mobile 5-Shelf Bookcases, Custom Colors]"/>
            <x15:cachedUniqueName index="19" name="[Super_Store_data].[Product Name].&amp;[Balt Solid Wood Rectangular Table]"/>
            <x15:cachedUniqueName index="20" name="[Super_Store_data].[Product Name].&amp;[Balt Solid Wood Round Tables]"/>
            <x15:cachedUniqueName index="21" name="[Super_Store_data].[Product Name].&amp;[Balt Split Level Computer Training Table]"/>
            <x15:cachedUniqueName index="22" name="[Super_Store_data].[Product Name].&amp;[Barricks 18&quot; x 48&quot; Non-Folding Utility Table with Bottom Storage Shelf]"/>
            <x15:cachedUniqueName index="23" name="[Super_Store_data].[Product Name].&amp;[Barricks Non-Folding Utility Table with Steel Legs, Laminate Tops]"/>
            <x15:cachedUniqueName index="24" name="[Super_Store_data].[Product Name].&amp;[Bestar Classic Bookcase]"/>
            <x15:cachedUniqueName index="25" name="[Super_Store_data].[Product Name].&amp;[Bevis 36 x 72 Conference Tables]"/>
            <x15:cachedUniqueName index="26" name="[Super_Store_data].[Product Name].&amp;[Bevis 44 x 96 Conference Tables]"/>
            <x15:cachedUniqueName index="27" name="[Super_Store_data].[Product Name].&amp;[Bevis Boat-Shaped Conference Table]"/>
            <x15:cachedUniqueName index="28" name="[Super_Store_data].[Product Name].&amp;[Bevis Oval Conference Table, Walnut]"/>
            <x15:cachedUniqueName index="29" name="[Super_Store_data].[Product Name].&amp;[Bevis Rectangular Conference Tables]"/>
            <x15:cachedUniqueName index="30" name="[Super_Store_data].[Product Name].&amp;[Bevis Round Bullnose 29&quot; High Table Top]"/>
            <x15:cachedUniqueName index="31" name="[Super_Store_data].[Product Name].&amp;[Bevis Round Conference Room Tables and Bases]"/>
            <x15:cachedUniqueName index="32" name="[Super_Store_data].[Product Name].&amp;[Bevis Round Conference Table Top &amp; Single Column Base]"/>
            <x15:cachedUniqueName index="33" name="[Super_Store_data].[Product Name].&amp;[Bevis Round Conference Table Top, X-Base]"/>
            <x15:cachedUniqueName index="34" name="[Super_Store_data].[Product Name].&amp;[Bevis Steel Folding Chairs]"/>
            <x15:cachedUniqueName index="35" name="[Super_Store_data].[Product Name].&amp;[Bevis Traditional Conference Table Top, Plinth Base]"/>
            <x15:cachedUniqueName index="36" name="[Super_Store_data].[Product Name].&amp;[BoxOffice By Design Rectangular and Half-Moon Meeting Room Tables]"/>
            <x15:cachedUniqueName index="37" name="[Super_Store_data].[Product Name].&amp;[BPI Conference Tables]"/>
            <x15:cachedUniqueName index="38" name="[Super_Store_data].[Product Name].&amp;[Bretford CR4500 Series Slim Rectangular Table]"/>
            <x15:cachedUniqueName index="39" name="[Super_Store_data].[Product Name].&amp;[Bretford CR8500 Series Meeting Room Furniture]"/>
            <x15:cachedUniqueName index="40" name="[Super_Store_data].[Product Name].&amp;[Bretford ÒJust In TimeÓ Height-Adjustable Multi-Task Work Tables]"/>
            <x15:cachedUniqueName index="41" name="[Super_Store_data].[Product Name].&amp;[Bretford Rectangular Conference Table Tops]"/>
            <x15:cachedUniqueName index="42" name="[Super_Store_data].[Product Name].&amp;[Bush Advantage Collection Racetrack Conference Table]"/>
            <x15:cachedUniqueName index="43" name="[Super_Store_data].[Product Name].&amp;[Bush Advantage Collection Round Conference Table]"/>
            <x15:cachedUniqueName index="44" name="[Super_Store_data].[Product Name].&amp;[Bush Andora Bookcase, Maple/Graphite Gray Finish]"/>
            <x15:cachedUniqueName index="45" name="[Super_Store_data].[Product Name].&amp;[Bush Andora Conference Table, Maple/Graphite Gray Finish]"/>
            <x15:cachedUniqueName index="46" name="[Super_Store_data].[Product Name].&amp;[Bush Birmingham Collection Bookcase, Dark Cherry]"/>
            <x15:cachedUniqueName index="47" name="[Super_Store_data].[Product Name].&amp;[Bush Cubix Collection Bookcases, Fully Assembled]"/>
            <x15:cachedUniqueName index="48" name="[Super_Store_data].[Product Name].&amp;[Bush Cubix Conference Tables, Fully Assembled]"/>
            <x15:cachedUniqueName index="49" name="[Super_Store_data].[Product Name].&amp;[Bush Heritage Pine Collection 5-Shelf Bookcase, Albany Pine Finish, *Special Order]"/>
            <x15:cachedUniqueName index="50" name="[Super_Store_data].[Product Name].&amp;[Bush Mission Pointe Library]"/>
            <x15:cachedUniqueName index="51" name="[Super_Store_data].[Product Name].&amp;[Bush Saratoga Collection 5-Shelf Bookcase, Hanover Cherry, *Special Order]"/>
            <x15:cachedUniqueName index="52" name="[Super_Store_data].[Product Name].&amp;[Bush Somerset Collection Bookcase]"/>
            <x15:cachedUniqueName index="53" name="[Super_Store_data].[Product Name].&amp;[Bush Westfield Collection Bookcases, Dark Cherry Finish]"/>
            <x15:cachedUniqueName index="54" name="[Super_Store_data].[Product Name].&amp;[Bush Westfield Collection Bookcases, Dark Cherry Finish, Fully Assembled]"/>
            <x15:cachedUniqueName index="55" name="[Super_Store_data].[Product Name].&amp;[Bush Westfield Collection Bookcases, Fully Assembled]"/>
            <x15:cachedUniqueName index="56" name="[Super_Store_data].[Product Name].&amp;[Bush Westfield Collection Bookcases, Medium Cherry Finish]"/>
            <x15:cachedUniqueName index="57" name="[Super_Store_data].[Product Name].&amp;[Career Cubicle Clock, 8 1/4&quot;, Black]"/>
            <x15:cachedUniqueName index="58" name="[Super_Store_data].[Product Name].&amp;[Chromcraft 48&quot; x 96&quot; Racetrack Double Pedestal Table]"/>
            <x15:cachedUniqueName index="59" name="[Super_Store_data].[Product Name].&amp;[Chromcraft Bull-Nose Wood 48&quot; x 96&quot; Rectangular Conference Tables]"/>
            <x15:cachedUniqueName index="60" name="[Super_Store_data].[Product Name].&amp;[Chromcraft Bull-Nose Wood Oval Conference Tables &amp; Bases]"/>
            <x15:cachedUniqueName index="61" name="[Super_Store_data].[Product Name].&amp;[Chromcraft Bull-Nose Wood Round Conference Table Top, Wood Base]"/>
            <x15:cachedUniqueName index="62" name="[Super_Store_data].[Product Name].&amp;[Chromcraft Rectangular Conference Tables]"/>
            <x15:cachedUniqueName index="63" name="[Super_Store_data].[Product Name].&amp;[Chromcraft Round Conference Tables]"/>
            <x15:cachedUniqueName index="64" name="[Super_Store_data].[Product Name].&amp;[C-Line Cubicle Keepers Polyproplyene Holder w/Velcro Back, 8-1/2x11, 25/Bx]"/>
            <x15:cachedUniqueName index="65" name="[Super_Store_data].[Product Name].&amp;[C-Line Cubicle Keepers Polyproplyene Holder With Velcro Backings]"/>
            <x15:cachedUniqueName index="66" name="[Super_Store_data].[Product Name].&amp;[C-Line Magnetic Cubicle Keepers, Clear Polypropylene]"/>
            <x15:cachedUniqueName index="67" name="[Super_Store_data].[Product Name].&amp;[Coloredge Poster Frame]"/>
            <x15:cachedUniqueName index="68" name="[Super_Store_data].[Product Name].&amp;[Computer Room Manger, 14&quot;]"/>
            <x15:cachedUniqueName index="69" name="[Super_Store_data].[Product Name].&amp;[Contemporary Borderless Frame]"/>
            <x15:cachedUniqueName index="70" name="[Super_Store_data].[Product Name].&amp;[Contemporary Wood/Metal Frame]"/>
            <x15:cachedUniqueName index="71" name="[Super_Store_data].[Product Name].&amp;[Contract Clock, 14&quot;, Brown]"/>
            <x15:cachedUniqueName index="72" name="[Super_Store_data].[Product Name].&amp;[Dana Fluorescent Magnifying Lamp, White, 36&quot;]"/>
            <x15:cachedUniqueName index="73" name="[Super_Store_data].[Product Name].&amp;[Dana Halogen Swing-Arm Architect Lamp]"/>
            <x15:cachedUniqueName index="74" name="[Super_Store_data].[Product Name].&amp;[Dana Swing-Arm Lamps]"/>
            <x15:cachedUniqueName index="75" name="[Super_Store_data].[Product Name].&amp;[DataProducts Ampli Magnifier Task Lamp, Black,]"/>
            <x15:cachedUniqueName index="76" name="[Super_Store_data].[Product Name].&amp;[DAX Black Cherry Wood-Tone Poster Frame]"/>
            <x15:cachedUniqueName index="77" name="[Super_Store_data].[Product Name].&amp;[DAX Charcoal/Nickel-Tone Document Frame, 5 x 7]"/>
            <x15:cachedUniqueName index="78" name="[Super_Store_data].[Product Name].&amp;[Dax Clear Box Frame]"/>
            <x15:cachedUniqueName index="79" name="[Super_Store_data].[Product Name].&amp;[DAX Clear Channel Poster Frame]"/>
            <x15:cachedUniqueName index="80" name="[Super_Store_data].[Product Name].&amp;[DAX Contemporary Wood Frame with Silver Metal Mat, Desktop, 11 x 14 Size]"/>
            <x15:cachedUniqueName index="81" name="[Super_Store_data].[Product Name].&amp;[DAX Copper Panel Document Frame, 5 x 7 Size]"/>
            <x15:cachedUniqueName index="82" name="[Super_Store_data].[Product Name].&amp;[DAX Cubicle Frames - 8x10]"/>
            <x15:cachedUniqueName index="83" name="[Super_Store_data].[Product Name].&amp;[DAX Cubicle Frames, 8-1/2 x 11]"/>
            <x15:cachedUniqueName index="84" name="[Super_Store_data].[Product Name].&amp;[DAX Executive Solid Wood Document Frame, Desktop or Hang, Mahogany, 5 x 7]"/>
            <x15:cachedUniqueName index="85" name="[Super_Store_data].[Product Name].&amp;[DAX Metal Frame, Desktop, Stepped-Edge]"/>
            <x15:cachedUniqueName index="86" name="[Super_Store_data].[Product Name].&amp;[DAX Natural Wood-Tone Poster Frame]"/>
            <x15:cachedUniqueName index="87" name="[Super_Store_data].[Product Name].&amp;[DAX Solid Wood Frames]"/>
            <x15:cachedUniqueName index="88" name="[Super_Store_data].[Product Name].&amp;[DAX Two-Tone Rosewood/Black Document Frame, Desktop, 5 x 7]"/>
            <x15:cachedUniqueName index="89" name="[Super_Store_data].[Product Name].&amp;[DAX Two-Tone Silver Metal Document Frame]"/>
            <x15:cachedUniqueName index="90" name="[Super_Store_data].[Product Name].&amp;[DAX Value U-Channel Document Frames, Easel Back]"/>
            <x15:cachedUniqueName index="91" name="[Super_Store_data].[Product Name].&amp;[DAX Wood Document Frame]"/>
            <x15:cachedUniqueName index="92" name="[Super_Store_data].[Product Name].&amp;[DAX Wood Document Frame.]"/>
            <x15:cachedUniqueName index="93" name="[Super_Store_data].[Product Name].&amp;[Deflect-o DuraMat Antistatic Studded Beveled Mat for Medium Pile Carpeting]"/>
            <x15:cachedUniqueName index="94" name="[Super_Store_data].[Product Name].&amp;[Deflect-o DuraMat Lighweight, Studded, Beveled Mat for Low Pile Carpeting]"/>
            <x15:cachedUniqueName index="95" name="[Super_Store_data].[Product Name].&amp;[Deflect-o EconoMat Nonstudded, No Bevel Mat]"/>
            <x15:cachedUniqueName index="96" name="[Super_Store_data].[Product Name].&amp;[Deflect-o EconoMat Studded, No Bevel Mat for Low Pile Carpeting]"/>
            <x15:cachedUniqueName index="97" name="[Super_Store_data].[Product Name].&amp;[Deflect-o Glass Clear Studded Chair Mats]"/>
            <x15:cachedUniqueName index="98" name="[Super_Store_data].[Product Name].&amp;[Deflect-O Glasstique Clear Desk Accessories]"/>
            <x15:cachedUniqueName index="99" name="[Super_Store_data].[Product Name].&amp;[Deflect-o RollaMat Studded, Beveled Mat for Medium Pile Carpeting]"/>
            <x15:cachedUniqueName index="100" name="[Super_Store_data].[Product Name].&amp;[Deflect-o SuperTray Unbreakable Stackable Tray, Letter, Black]"/>
            <x15:cachedUniqueName index="101" name="[Super_Store_data].[Product Name].&amp;[DMI Arturo Collection Mission-style Design Wood Chair]"/>
            <x15:cachedUniqueName index="102" name="[Super_Store_data].[Product Name].&amp;[DMI Eclipse Executive Suite Bookcases]"/>
            <x15:cachedUniqueName index="103" name="[Super_Store_data].[Product Name].&amp;[Document Clip Frames]"/>
            <x15:cachedUniqueName index="104" name="[Super_Store_data].[Product Name].&amp;[Eldon &quot;L&quot; Workstation Diamond Chairmat]"/>
            <x15:cachedUniqueName index="105" name="[Super_Store_data].[Product Name].&amp;[Eldon 100 Class Desk Accessories]"/>
            <x15:cachedUniqueName index="106" name="[Super_Store_data].[Product Name].&amp;[Eldon 200 Class Desk Accessories]"/>
            <x15:cachedUniqueName index="107" name="[Super_Store_data].[Product Name].&amp;[Eldon 200 Class Desk Accessories, Black]"/>
            <x15:cachedUniqueName index="108" name="[Super_Store_data].[Product Name].&amp;[Eldon 200 Class Desk Accessories, Burgundy]"/>
            <x15:cachedUniqueName index="109" name="[Super_Store_data].[Product Name].&amp;[Eldon 200 Class Desk Accessories, Smoke]"/>
            <x15:cachedUniqueName index="110" name="[Super_Store_data].[Product Name].&amp;[Eldon 300 Class Desk Accessories, Black]"/>
            <x15:cachedUniqueName index="111" name="[Super_Store_data].[Product Name].&amp;[Eldon 400 Class Desk Accessories, Black Carbon]"/>
            <x15:cachedUniqueName index="112" name="[Super_Store_data].[Product Name].&amp;[Eldon 500 Class Desk Accessories]"/>
            <x15:cachedUniqueName index="113" name="[Super_Store_data].[Product Name].&amp;[Eldon Advantage Chair Mats for Low to Medium Pile Carpets]"/>
            <x15:cachedUniqueName index="114" name="[Super_Store_data].[Product Name].&amp;[Eldon Advantage Foldable Chair Mats for Low Pile Carpets]"/>
            <x15:cachedUniqueName index="115" name="[Super_Store_data].[Product Name].&amp;[Eldon Antistatic Chair Mats for Low to Medium Pile Carpets]"/>
            <x15:cachedUniqueName index="116" name="[Super_Store_data].[Product Name].&amp;[Eldon Cleatmat Chair Mats for Medium Pile Carpets]"/>
            <x15:cachedUniqueName index="117" name="[Super_Store_data].[Product Name].&amp;[Eldon Cleatmat Plus Chair Mats for High Pile Carpets]"/>
            <x15:cachedUniqueName index="118" name="[Super_Store_data].[Product Name].&amp;[Eldon ClusterMat Chair Mat with Cordless Antistatic Protection]"/>
            <x15:cachedUniqueName index="119" name="[Super_Store_data].[Product Name].&amp;[Eldon Delta Triangular Chair Mat, 52&quot; x 58&quot;, Clear]"/>
            <x15:cachedUniqueName index="120" name="[Super_Store_data].[Product Name].&amp;[Eldon Econocleat Chair Mats for Low Pile Carpets]"/>
            <x15:cachedUniqueName index="121" name="[Super_Store_data].[Product Name].&amp;[Eldon Executive Woodline II Cherry Finish Desk Accessories]"/>
            <x15:cachedUniqueName index="122" name="[Super_Store_data].[Product Name].&amp;[Eldon Executive Woodline II Desk Accessories, Mahogany]"/>
            <x15:cachedUniqueName index="123" name="[Super_Store_data].[Product Name].&amp;[Eldon Expressions Desk Accessory, Wood Pencil Holder, Oak]"/>
            <x15:cachedUniqueName index="124" name="[Super_Store_data].[Product Name].&amp;[Eldon Expressions Desk Accessory, Wood Photo Frame, Mahogany]"/>
            <x15:cachedUniqueName index="125" name="[Super_Store_data].[Product Name].&amp;[Eldon Expressions Mahogany Wood Desk Collection]"/>
            <x15:cachedUniqueName index="126" name="[Super_Store_data].[Product Name].&amp;[Eldon Expressions Punched Metal &amp; Wood Desk Accessories, Black &amp; Cherry]"/>
            <x15:cachedUniqueName index="127" name="[Super_Store_data].[Product Name].&amp;[Eldon Expressions Punched Metal &amp; Wood Desk Accessories, Pewter &amp; Cherry]"/>
            <x15:cachedUniqueName index="128" name="[Super_Store_data].[Product Name].&amp;[Eldon Expressions Wood and Plastic Desk Accessories, Cherry Wood]"/>
            <x15:cachedUniqueName index="129" name="[Super_Store_data].[Product Name].&amp;[Eldon Expressions Wood and Plastic Desk Accessories, Oak]"/>
            <x15:cachedUniqueName index="130" name="[Super_Store_data].[Product Name].&amp;[Eldon Expressions Wood Desk Accessories, Oak]"/>
            <x15:cachedUniqueName index="131" name="[Super_Store_data].[Product Name].&amp;[Eldon Imˆge Series Desk Accessories, Clear]"/>
            <x15:cachedUniqueName index="132" name="[Super_Store_data].[Product Name].&amp;[Eldon Image Series Black Desk Accessories]"/>
            <x15:cachedUniqueName index="133" name="[Super_Store_data].[Product Name].&amp;[Eldon Image Series Desk Accessories, Burgundy]"/>
            <x15:cachedUniqueName index="134" name="[Super_Store_data].[Product Name].&amp;[Eldon Image Series Desk Accessories, Ebony]"/>
            <x15:cachedUniqueName index="135" name="[Super_Store_data].[Product Name].&amp;[Eldon Pizzaz Desk Accessories]"/>
            <x15:cachedUniqueName index="136" name="[Super_Store_data].[Product Name].&amp;[Eldon Radial Chair Mat for Low to Medium Pile Carpets]"/>
            <x15:cachedUniqueName index="137" name="[Super_Store_data].[Product Name].&amp;[Eldon Regeneration Recycled Desk Accessories, Black]"/>
            <x15:cachedUniqueName index="138" name="[Super_Store_data].[Product Name].&amp;[Eldon Regeneration Recycled Desk Accessories, Smoke]"/>
            <x15:cachedUniqueName index="139" name="[Super_Store_data].[Product Name].&amp;[Eldon Stackable Tray, Side-Load, Legal, Smoke]"/>
            <x15:cachedUniqueName index="140" name="[Super_Store_data].[Product Name].&amp;[Eldon Wave Desk Accessories]"/>
            <x15:cachedUniqueName index="141" name="[Super_Store_data].[Product Name].&amp;[Electrix 20W Halogen Replacement Bulb for Zoom-In Desk Lamp]"/>
            <x15:cachedUniqueName index="142" name="[Super_Store_data].[Product Name].&amp;[Electrix Architect's Clamp-On Swing Arm Lamp, Black]"/>
            <x15:cachedUniqueName index="143" name="[Super_Store_data].[Product Name].&amp;[Electrix Fluorescent Magnifier Lamps &amp; Weighted Base]"/>
            <x15:cachedUniqueName index="144" name="[Super_Store_data].[Product Name].&amp;[Electrix Halogen Magnifier Lamp]"/>
            <x15:cachedUniqueName index="145" name="[Super_Store_data].[Product Name].&amp;[Electrix Incandescent Magnifying Lamp, Black]"/>
            <x15:cachedUniqueName index="146" name="[Super_Store_data].[Product Name].&amp;[Executive Impressions 10&quot; Spectator Wall Clock]"/>
            <x15:cachedUniqueName index="147" name="[Super_Store_data].[Product Name].&amp;[Executive Impressions 12&quot; Wall Clock]"/>
            <x15:cachedUniqueName index="148" name="[Super_Store_data].[Product Name].&amp;[Executive Impressions 13&quot; Chairman Wall Clock]"/>
            <x15:cachedUniqueName index="149" name="[Super_Store_data].[Product Name].&amp;[Executive Impressions 13&quot; Clairmont Wall Clock]"/>
            <x15:cachedUniqueName index="150" name="[Super_Store_data].[Product Name].&amp;[Executive Impressions 13-1/2&quot; Indoor/Outdoor Wall Clock]"/>
            <x15:cachedUniqueName index="151" name="[Super_Store_data].[Product Name].&amp;[Executive Impressions 14&quot;]"/>
            <x15:cachedUniqueName index="152" name="[Super_Store_data].[Product Name].&amp;[Executive Impressions 14&quot; Contract Wall Clock]"/>
            <x15:cachedUniqueName index="153" name="[Super_Store_data].[Product Name].&amp;[Executive Impressions 14&quot; Contract Wall Clock with Quartz Movement]"/>
            <x15:cachedUniqueName index="154" name="[Super_Store_data].[Product Name].&amp;[Executive Impressions 14&quot; Two-Color Numerals Wall Clock]"/>
            <x15:cachedUniqueName index="155" name="[Super_Store_data].[Product Name].&amp;[Executive Impressions 16-1/2&quot; Circular Wall Clock]"/>
            <x15:cachedUniqueName index="156" name="[Super_Store_data].[Product Name].&amp;[Executive Impressions 8-1/2&quot; Career Panel/Partition Cubicle Clock]"/>
            <x15:cachedUniqueName index="157" name="[Super_Store_data].[Product Name].&amp;[Executive Impressions Supervisor Wall Clock]"/>
            <x15:cachedUniqueName index="158" name="[Super_Store_data].[Product Name].&amp;[Flat Face Poster Frame]"/>
            <x15:cachedUniqueName index="159" name="[Super_Store_data].[Product Name].&amp;[Floodlight Indoor Halogen Bulbs, 1 Bulb per Pack, 60 Watts]"/>
            <x15:cachedUniqueName index="160" name="[Super_Store_data].[Product Name].&amp;[G.E. Halogen Desk Lamp Bulbs]"/>
            <x15:cachedUniqueName index="161" name="[Super_Store_data].[Product Name].&amp;[G.E. Longer-Life Indoor Recessed Floodlight Bulbs]"/>
            <x15:cachedUniqueName index="162" name="[Super_Store_data].[Product Name].&amp;[GE 4 Foot Flourescent Tube, 40 Watt]"/>
            <x15:cachedUniqueName index="163" name="[Super_Store_data].[Product Name].&amp;[GE 48&quot; Fluorescent Tube, Cool White Energy Saver, 34 Watts, 30/Box]"/>
            <x15:cachedUniqueName index="164" name="[Super_Store_data].[Product Name].&amp;[GE General Purpose, Extra Long Life, Showcase &amp; Floodlight Incandescent Bulbs]"/>
            <x15:cachedUniqueName index="165" name="[Super_Store_data].[Product Name].&amp;[GE General Use Halogen Bulbs, 100 Watts, 1 Bulb per Pack]"/>
            <x15:cachedUniqueName index="166" name="[Super_Store_data].[Product Name].&amp;[Global Adaptabilites Bookcase, Cherry/Storm Gray Finish]"/>
            <x15:cachedUniqueName index="167" name="[Super_Store_data].[Product Name].&amp;[Global Adaptabilities Conference Tables]"/>
            <x15:cachedUniqueName index="168" name="[Super_Store_data].[Product Name].&amp;[Global Airflow Leather Mesh Back Chair, Black]"/>
            <x15:cachedUniqueName index="169" name="[Super_Store_data].[Product Name].&amp;[Global Armless Task Chair, Royal Blue]"/>
            <x15:cachedUniqueName index="170" name="[Super_Store_data].[Product Name].&amp;[Global Chrome Stack Chair]"/>
            <x15:cachedUniqueName index="171" name="[Super_Store_data].[Product Name].&amp;[Global Comet Stacking Arm Chair]"/>
            <x15:cachedUniqueName index="172" name="[Super_Store_data].[Product Name].&amp;[Global Comet Stacking Armless Chair]"/>
            <x15:cachedUniqueName index="173" name="[Super_Store_data].[Product Name].&amp;[Global Commerce Series High-Back Swivel/Tilt Chairs]"/>
            <x15:cachedUniqueName index="174" name="[Super_Store_data].[Product Name].&amp;[Global Commerce Series Low-Back Swivel/Tilt Chairs]"/>
            <x15:cachedUniqueName index="175" name="[Super_Store_data].[Product Name].&amp;[Global Deluxe High-Back Manager's Chair]"/>
            <x15:cachedUniqueName index="176" name="[Super_Store_data].[Product Name].&amp;[Global Deluxe High-Back Office Chair in Storm]"/>
            <x15:cachedUniqueName index="177" name="[Super_Store_data].[Product Name].&amp;[Global Deluxe Office Fabric Chairs]"/>
            <x15:cachedUniqueName index="178" name="[Super_Store_data].[Product Name].&amp;[Global Deluxe Stacking Chair, Gray]"/>
            <x15:cachedUniqueName index="179" name="[Super_Store_data].[Product Name].&amp;[Global Deluxe Steno Chair]"/>
            <x15:cachedUniqueName index="180" name="[Super_Store_data].[Product Name].&amp;[Global Enterprise Series Seating High-Back Swivel/Tilt Chairs]"/>
            <x15:cachedUniqueName index="181" name="[Super_Store_data].[Product Name].&amp;[Global Enterprise Series Seating Low-Back Swivel/Tilt Chairs]"/>
            <x15:cachedUniqueName index="182" name="[Super_Store_data].[Product Name].&amp;[Global Ergonomic Managers Chair]"/>
            <x15:cachedUniqueName index="183" name="[Super_Store_data].[Product Name].&amp;[Global Executive Mid-Back Manager's Chair]"/>
            <x15:cachedUniqueName index="184" name="[Super_Store_data].[Product Name].&amp;[Global Fabric Manager's Chair, Dark Gray]"/>
            <x15:cachedUniqueName index="185" name="[Super_Store_data].[Product Name].&amp;[Global Geo Office Task Chair, Gray]"/>
            <x15:cachedUniqueName index="186" name="[Super_Store_data].[Product Name].&amp;[Global Highback Leather Tilter in Burgundy]"/>
            <x15:cachedUniqueName index="187" name="[Super_Store_data].[Product Name].&amp;[Global High-Back Leather Tilter, Burgundy]"/>
            <x15:cachedUniqueName index="188" name="[Super_Store_data].[Product Name].&amp;[Global Italian Leather Office Chair]"/>
            <x15:cachedUniqueName index="189" name="[Super_Store_data].[Product Name].&amp;[Global Leather &amp; Oak Executive Chair, Burgundy]"/>
            <x15:cachedUniqueName index="190" name="[Super_Store_data].[Product Name].&amp;[Global Leather and Oak Executive Chair, Black]"/>
            <x15:cachedUniqueName index="191" name="[Super_Store_data].[Product Name].&amp;[Global Leather Executive Chair]"/>
            <x15:cachedUniqueName index="192" name="[Super_Store_data].[Product Name].&amp;[Global Leather Highback Executive Chair with Pneumatic Height Adjustment, Black]"/>
            <x15:cachedUniqueName index="193" name="[Super_Store_data].[Product Name].&amp;[Global Leather Task Chair, Black]"/>
            <x15:cachedUniqueName index="194" name="[Super_Store_data].[Product Name].&amp;[Global Low Back Tilter Chair]"/>
            <x15:cachedUniqueName index="195" name="[Super_Store_data].[Product Name].&amp;[Global Manager's Adjustable Task Chair, Storm]"/>
            <x15:cachedUniqueName index="196" name="[Super_Store_data].[Product Name].&amp;[Global Push Button Manager's Chair, Indigo]"/>
            <x15:cachedUniqueName index="197" name="[Super_Store_data].[Product Name].&amp;[Global Stack Chair with Arms, Black]"/>
            <x15:cachedUniqueName index="198" name="[Super_Store_data].[Product Name].&amp;[Global Stack Chair without Arms, Black]"/>
            <x15:cachedUniqueName index="199" name="[Super_Store_data].[Product Name].&amp;[Global Super Steno Chair]"/>
            <x15:cachedUniqueName index="200" name="[Super_Store_data].[Product Name].&amp;[Global Task Chair, Black]"/>
            <x15:cachedUniqueName index="201" name="[Super_Store_data].[Product Name].&amp;[Global Troy Executive Leather Low-Back Tilter]"/>
            <x15:cachedUniqueName index="202" name="[Super_Store_data].[Product Name].&amp;[Global Value Mid-Back Manager's Chair, Gray]"/>
            <x15:cachedUniqueName index="203" name="[Super_Store_data].[Product Name].&amp;[Global Value Steno Chair, Gray]"/>
            <x15:cachedUniqueName index="204" name="[Super_Store_data].[Product Name].&amp;[Global Wood Trimmed Manager's Task Chair, Khaki]"/>
            <x15:cachedUniqueName index="205" name="[Super_Store_data].[Product Name].&amp;[GuestStacker Chair with Chrome Finish Legs]"/>
            <x15:cachedUniqueName index="206" name="[Super_Store_data].[Product Name].&amp;[Hand-Finished Solid Wood Document Frame]"/>
            <x15:cachedUniqueName index="207" name="[Super_Store_data].[Product Name].&amp;[Harbour Creations 67200 Series Stacking Chairs]"/>
            <x15:cachedUniqueName index="208" name="[Super_Store_data].[Product Name].&amp;[Harbour Creations Steel Folding Chair]"/>
            <x15:cachedUniqueName index="209" name="[Super_Store_data].[Product Name].&amp;[High-Back Leather Manager's Chair]"/>
            <x15:cachedUniqueName index="210" name="[Super_Store_data].[Product Name].&amp;[Hon 2090 ÒPillow SoftÓ Series Mid Back Swivel/Tilt Chairs]"/>
            <x15:cachedUniqueName index="211" name="[Super_Store_data].[Product Name].&amp;[Hon 2111 Invitation Series Corner Table]"/>
            <x15:cachedUniqueName index="212" name="[Super_Store_data].[Product Name].&amp;[Hon 2111 Invitation Series Straight Table]"/>
            <x15:cachedUniqueName index="213" name="[Super_Store_data].[Product Name].&amp;[Hon 30&quot; x 60&quot; Table with Locking Drawer]"/>
            <x15:cachedUniqueName index="214" name="[Super_Store_data].[Product Name].&amp;[Hon 4060 Series Tables]"/>
            <x15:cachedUniqueName index="215" name="[Super_Store_data].[Product Name].&amp;[Hon 4070 Series Pagoda Armless Upholstered Stacking Chairs]"/>
            <x15:cachedUniqueName index="216" name="[Super_Store_data].[Product Name].&amp;[Hon 4070 Series Pagoda Round Back Stacking Chairs]"/>
            <x15:cachedUniqueName index="217" name="[Super_Store_data].[Product Name].&amp;[Hon 4700 Series Mobuis Mid-Back Task Chairs with Adjustable Arms]"/>
            <x15:cachedUniqueName index="218" name="[Super_Store_data].[Product Name].&amp;[Hon 4-Shelf Metal Bookcases]"/>
            <x15:cachedUniqueName index="219" name="[Super_Store_data].[Product Name].&amp;[Hon 5100 Series Wood Tables]"/>
            <x15:cachedUniqueName index="220" name="[Super_Store_data].[Product Name].&amp;[HON 5400 Series Task Chairs for Big and Tall]"/>
            <x15:cachedUniqueName index="221" name="[Super_Store_data].[Product Name].&amp;[Hon 61000 Series Interactive Training Tables]"/>
            <x15:cachedUniqueName index="222" name="[Super_Store_data].[Product Name].&amp;[Hon 94000 Series Round Tables]"/>
            <x15:cachedUniqueName index="223" name="[Super_Store_data].[Product Name].&amp;[Hon Comfortask Task/Swivel Chairs]"/>
            <x15:cachedUniqueName index="224" name="[Super_Store_data].[Product Name].&amp;[Hon Deluxe Fabric Upholstered Stacking Chairs]"/>
            <x15:cachedUniqueName index="225" name="[Super_Store_data].[Product Name].&amp;[Hon Deluxe Fabric Upholstered Stacking Chairs, Rounded Back]"/>
            <x15:cachedUniqueName index="226" name="[Super_Store_data].[Product Name].&amp;[Hon Deluxe Fabric Upholstered Stacking Chairs, Squared Back]"/>
            <x15:cachedUniqueName index="227" name="[Super_Store_data].[Product Name].&amp;[Hon Every-Day Chair Series Swivel Task Chairs]"/>
            <x15:cachedUniqueName index="228" name="[Super_Store_data].[Product Name].&amp;[Hon Every-Day Series Multi-Task Chairs]"/>
            <x15:cachedUniqueName index="229" name="[Super_Store_data].[Product Name].&amp;[Hon GuestStacker Chair]"/>
            <x15:cachedUniqueName index="230" name="[Super_Store_data].[Product Name].&amp;[Hon Metal Bookcases, Black]"/>
            <x15:cachedUniqueName index="231" name="[Super_Store_data].[Product Name].&amp;[Hon Metal Bookcases, Gray]"/>
            <x15:cachedUniqueName index="232" name="[Super_Store_data].[Product Name].&amp;[Hon Metal Bookcases, Putty]"/>
            <x15:cachedUniqueName index="233" name="[Super_Store_data].[Product Name].&amp;[Hon Mobius Operator's Chair]"/>
            <x15:cachedUniqueName index="234" name="[Super_Store_data].[Product Name].&amp;[Hon Multipurpose Stacking Arm Chairs]"/>
            <x15:cachedUniqueName index="235" name="[Super_Store_data].[Product Name].&amp;[Hon Non-Folding Utility Tables]"/>
            <x15:cachedUniqueName index="236" name="[Super_Store_data].[Product Name].&amp;[Hon Olson Stacker Chairs]"/>
            <x15:cachedUniqueName index="237" name="[Super_Store_data].[Product Name].&amp;[Hon Olson Stacker Stools]"/>
            <x15:cachedUniqueName index="238" name="[Super_Store_data].[Product Name].&amp;[Hon Pagoda Stacking Chairs]"/>
            <x15:cachedUniqueName index="239" name="[Super_Store_data].[Product Name].&amp;[Hon Practical Foundations 30 x 60 Training Table, Light Gray/Charcoal]"/>
            <x15:cachedUniqueName index="240" name="[Super_Store_data].[Product Name].&amp;[Hon Racetrack Conference Tables]"/>
            <x15:cachedUniqueName index="241" name="[Super_Store_data].[Product Name].&amp;[Hon Rectangular Conference Tables]"/>
            <x15:cachedUniqueName index="242" name="[Super_Store_data].[Product Name].&amp;[Hon Valutask Swivel Chairs]"/>
            <x15:cachedUniqueName index="243" name="[Super_Store_data].[Product Name].&amp;[Howard Miller 11-1/2&quot; Diameter Brentwood Wall Clock]"/>
            <x15:cachedUniqueName index="244" name="[Super_Store_data].[Product Name].&amp;[Howard Miller 11-1/2&quot; Diameter Grantwood Wall Clock]"/>
            <x15:cachedUniqueName index="245" name="[Super_Store_data].[Product Name].&amp;[Howard Miller 11-1/2&quot; Diameter Ridgewood Wall Clock]"/>
            <x15:cachedUniqueName index="246" name="[Super_Store_data].[Product Name].&amp;[Howard Miller 12&quot; Round Wall Clock]"/>
            <x15:cachedUniqueName index="247" name="[Super_Store_data].[Product Name].&amp;[Howard Miller 12-3/4 Diameter Accuwave DS  Wall Clock]"/>
            <x15:cachedUniqueName index="248" name="[Super_Store_data].[Product Name].&amp;[Howard Miller 13&quot; Diameter Goldtone Round Wall Clock]"/>
            <x15:cachedUniqueName index="249" name="[Super_Store_data].[Product Name].&amp;[Howard Miller 13&quot; Diameter Pewter Finish Round Wall Clock]"/>
            <x15:cachedUniqueName index="250" name="[Super_Store_data].[Product Name].&amp;[Howard Miller 13-1/2&quot; Diameter Rosebrook Wall Clock]"/>
            <x15:cachedUniqueName index="251" name="[Super_Store_data].[Product Name].&amp;[Howard Miller 13-3/4&quot; Diameter Brushed Chrome Round Wall Clock]"/>
            <x15:cachedUniqueName index="252" name="[Super_Store_data].[Product Name].&amp;[Howard Miller 14-1/2&quot; Diameter Chrome Round Wall Clock]"/>
            <x15:cachedUniqueName index="253" name="[Super_Store_data].[Product Name].&amp;[Howard Miller 16&quot; Diameter Gallery Wall Clock]"/>
            <x15:cachedUniqueName index="254" name="[Super_Store_data].[Product Name].&amp;[Howard Miller Distant Time Traveler Alarm Clock]"/>
            <x15:cachedUniqueName index="255" name="[Super_Store_data].[Product Name].&amp;[Iceberg Nesting Folding Chair, 19w x 6d x 43h]"/>
            <x15:cachedUniqueName index="256" name="[Super_Store_data].[Product Name].&amp;[Iceberg OfficeWorks 42&quot; Round Tables]"/>
            <x15:cachedUniqueName index="257" name="[Super_Store_data].[Product Name].&amp;[KI Adjustable-Height Table]"/>
            <x15:cachedUniqueName index="258" name="[Super_Store_data].[Product Name].&amp;[KI Conference Tables]"/>
            <x15:cachedUniqueName index="259" name="[Super_Store_data].[Product Name].&amp;[Laminate Occasional Tables]"/>
            <x15:cachedUniqueName index="260" name="[Super_Store_data].[Product Name].&amp;[Leather Task Chair, Black]"/>
            <x15:cachedUniqueName index="261" name="[Super_Store_data].[Product Name].&amp;[Lesro Round Back Collection Coffee Table, End Table]"/>
            <x15:cachedUniqueName index="262" name="[Super_Store_data].[Product Name].&amp;[Lesro Sheffield Collection Coffee Table, End Table, Center Table, Corner Table]"/>
            <x15:cachedUniqueName index="263" name="[Super_Store_data].[Product Name].&amp;[Lifetime Advantage Folding Chairs, 4/Carton]"/>
            <x15:cachedUniqueName index="264" name="[Super_Store_data].[Product Name].&amp;[Linden 10&quot; Round Wall Clock, Black]"/>
            <x15:cachedUniqueName index="265" name="[Super_Store_data].[Product Name].&amp;[Linden 12&quot; Wall Clock With Oak Frame]"/>
            <x15:cachedUniqueName index="266" name="[Super_Store_data].[Product Name].&amp;[Longer-Life Soft White Bulbs]"/>
            <x15:cachedUniqueName index="267" name="[Super_Store_data].[Product Name].&amp;[Luxo Adjustable Task Clamp Lamp]"/>
            <x15:cachedUniqueName index="268" name="[Super_Store_data].[Product Name].&amp;[Luxo Economy Swing Arm Lamp]"/>
            <x15:cachedUniqueName index="269" name="[Super_Store_data].[Product Name].&amp;[Luxo Professional Combination Clamp-On Lamps]"/>
            <x15:cachedUniqueName index="270" name="[Super_Store_data].[Product Name].&amp;[Luxo Professional Fluorescent Magnifier Lamp with Clamp-Mount Base]"/>
            <x15:cachedUniqueName index="271" name="[Super_Store_data].[Product Name].&amp;[Luxo Professional Magnifying Clamp-On Fluorescent Lamps]"/>
            <x15:cachedUniqueName index="272" name="[Super_Store_data].[Product Name].&amp;[Magna Visual Magnetic Picture Hangers]"/>
            <x15:cachedUniqueName index="273" name="[Super_Store_data].[Product Name].&amp;[Magnifier Swing Arm Lamp]"/>
            <x15:cachedUniqueName index="274" name="[Super_Store_data].[Product Name].&amp;[Master Big Foot Doorstop, Beige]"/>
            <x15:cachedUniqueName index="275" name="[Super_Store_data].[Product Name].&amp;[Master Caster Door Stop, Brown]"/>
            <x15:cachedUniqueName index="276" name="[Super_Store_data].[Product Name].&amp;[Master Caster Door Stop, Gray]"/>
            <x15:cachedUniqueName index="277" name="[Super_Store_data].[Product Name].&amp;[Master Caster Door Stop, Large Brown]"/>
            <x15:cachedUniqueName index="278" name="[Super_Store_data].[Product Name].&amp;[Master Caster Door Stop, Large Neon Orange]"/>
            <x15:cachedUniqueName index="279" name="[Super_Store_data].[Product Name].&amp;[Master Giant Foot Doorstop, Safety Yellow]"/>
            <x15:cachedUniqueName index="280" name="[Super_Store_data].[Product Name].&amp;[Metal Folding Chairs, Beige, 4/Carton]"/>
            <x15:cachedUniqueName index="281" name="[Super_Store_data].[Product Name].&amp;[Novimex Fabric Task Chair]"/>
            <x15:cachedUniqueName index="282" name="[Super_Store_data].[Product Name].&amp;[Novimex High-Tech Fabric Mesh Task Chair]"/>
            <x15:cachedUniqueName index="283" name="[Super_Store_data].[Product Name].&amp;[Novimex Swivel Fabric Task Chair]"/>
            <x15:cachedUniqueName index="284" name="[Super_Store_data].[Product Name].&amp;[Novimex Turbo Task Chair]"/>
            <x15:cachedUniqueName index="285" name="[Super_Store_data].[Product Name].&amp;[Nu-Dell Executive Frame]"/>
            <x15:cachedUniqueName index="286" name="[Super_Store_data].[Product Name].&amp;[Nu-Dell EZ-Mount Plastic Wall Frames]"/>
            <x15:cachedUniqueName index="287" name="[Super_Store_data].[Product Name].&amp;[Nu-Dell Float Frame 11 x 14 1/2]"/>
            <x15:cachedUniqueName index="288" name="[Super_Store_data].[Product Name].&amp;[Nu-Dell Leatherette Frames]"/>
            <x15:cachedUniqueName index="289" name="[Super_Store_data].[Product Name].&amp;[Nu-Dell Oak Frame]"/>
            <x15:cachedUniqueName index="290" name="[Super_Store_data].[Product Name].&amp;[Office Impressions End Table, 20-1/2&quot;H x 24&quot;W x 20&quot;D]"/>
            <x15:cachedUniqueName index="291" name="[Super_Store_data].[Product Name].&amp;[Office Star - Contemporary Swivel Chair with Padded Adjustable Arms and Flex Back]"/>
            <x15:cachedUniqueName index="292" name="[Super_Store_data].[Product Name].&amp;[Office Star - Contemporary Task Swivel Chair]"/>
            <x15:cachedUniqueName index="293" name="[Super_Store_data].[Product Name].&amp;[Office Star - Contemporary Task Swivel chair with 2-way adjustable arms, Plum]"/>
            <x15:cachedUniqueName index="294" name="[Super_Store_data].[Product Name].&amp;[Office Star - Contemporary Task Swivel chair with Loop Arms, Charcoal]"/>
            <x15:cachedUniqueName index="295" name="[Super_Store_data].[Product Name].&amp;[Office Star - Ergonomic Mid Back Chair with 2-Way Adjustable Arms]"/>
            <x15:cachedUniqueName index="296" name="[Super_Store_data].[Product Name].&amp;[Office Star - Ergonomically Designed Knee Chair]"/>
            <x15:cachedUniqueName index="297" name="[Super_Store_data].[Product Name].&amp;[Office Star - Mesh Screen back chair with Vinyl seat]"/>
            <x15:cachedUniqueName index="298" name="[Super_Store_data].[Product Name].&amp;[Office Star - Mid Back Dual function Ergonomic High Back Chair with 2-Way Adjustable Arms]"/>
            <x15:cachedUniqueName index="299" name="[Super_Store_data].[Product Name].&amp;[Office Star - Professional Matrix Back Chair with 2-to-1 Synchro Tilt and Mesh Fabric Seat]"/>
            <x15:cachedUniqueName index="300" name="[Super_Store_data].[Product Name].&amp;[Office Star - Task Chair with Contemporary Loop Arms]"/>
            <x15:cachedUniqueName index="301" name="[Super_Store_data].[Product Name].&amp;[Office Star Flex Back Scooter Chair with Aluminum Finish Frame]"/>
            <x15:cachedUniqueName index="302" name="[Super_Store_data].[Product Name].&amp;[Office Star Flex Back Scooter Chair with White Frame]"/>
            <x15:cachedUniqueName index="303" name="[Super_Store_data].[Product Name].&amp;[OIC Stacking Trays]"/>
            <x15:cachedUniqueName index="304" name="[Super_Store_data].[Product Name].&amp;[O'Sullivan 2-Door Barrister Bookcase in Odessa Pine]"/>
            <x15:cachedUniqueName index="305" name="[Super_Store_data].[Product Name].&amp;[O'Sullivan 2-Shelf Heavy-Duty Bookcases]"/>
            <x15:cachedUniqueName index="306" name="[Super_Store_data].[Product Name].&amp;[O'Sullivan 3-Shelf Heavy-Duty Bookcases]"/>
            <x15:cachedUniqueName index="307" name="[Super_Store_data].[Product Name].&amp;[O'Sullivan 4-Shelf Bookcase in Odessa Pine]"/>
            <x15:cachedUniqueName index="308" name="[Super_Store_data].[Product Name].&amp;[O'Sullivan 5-Shelf Heavy-Duty Bookcases]"/>
            <x15:cachedUniqueName index="309" name="[Super_Store_data].[Product Name].&amp;[O'Sullivan Cherrywood Estates Traditional Barrister Bookcase]"/>
            <x15:cachedUniqueName index="310" name="[Super_Store_data].[Product Name].&amp;[O'Sullivan Cherrywood Estates Traditional Bookcase]"/>
            <x15:cachedUniqueName index="311" name="[Super_Store_data].[Product Name].&amp;[O'Sullivan Elevations Bookcase, Cherry Finish]"/>
            <x15:cachedUniqueName index="312" name="[Super_Store_data].[Product Name].&amp;[O'Sullivan Living Dimensions 2-Shelf Bookcases]"/>
            <x15:cachedUniqueName index="313" name="[Super_Store_data].[Product Name].&amp;[O'Sullivan Living Dimensions 3-Shelf Bookcases]"/>
            <x15:cachedUniqueName index="314" name="[Super_Store_data].[Product Name].&amp;[O'Sullivan Living Dimensions 5-Shelf Bookcases]"/>
            <x15:cachedUniqueName index="315" name="[Super_Store_data].[Product Name].&amp;[O'Sullivan Manor Hill 2-Door Library in Brianna Oak]"/>
            <x15:cachedUniqueName index="316" name="[Super_Store_data].[Product Name].&amp;[O'Sullivan Plantations 2-Door Library in Landvery Oak]"/>
            <x15:cachedUniqueName index="317" name="[Super_Store_data].[Product Name].&amp;[Padded Folding Chairs, Black, 4/Carton]"/>
            <x15:cachedUniqueName index="318" name="[Super_Store_data].[Product Name].&amp;[Regeneration Desk Collection]"/>
            <x15:cachedUniqueName index="319" name="[Super_Store_data].[Product Name].&amp;[Riverside Furniture Oval Coffee Table, Oval End Table, End Table with Drawer]"/>
            <x15:cachedUniqueName index="320" name="[Super_Store_data].[Product Name].&amp;[Riverside Furniture Stanwyck Manor Table Series]"/>
            <x15:cachedUniqueName index="321" name="[Super_Store_data].[Product Name].&amp;[Riverside Palais Royal Lawyers Bookcase, Royale Cherry Finish]"/>
            <x15:cachedUniqueName index="322" name="[Super_Store_data].[Product Name].&amp;[Rubbermaid ClusterMat Chairmats, Mat Size- 66&quot; x 60&quot;, Lip 20&quot; x 11&quot; -90 Degree Angle]"/>
            <x15:cachedUniqueName index="323" name="[Super_Store_data].[Product Name].&amp;[Rush Hierlooms Collection 1&quot; Thick Stackable Bookcases]"/>
            <x15:cachedUniqueName index="324" name="[Super_Store_data].[Product Name].&amp;[Rush Hierlooms Collection Rich Wood Bookcases]"/>
            <x15:cachedUniqueName index="325" name="[Super_Store_data].[Product Name].&amp;[SAFCO Arco Folding Chair]"/>
            <x15:cachedUniqueName index="326" name="[Super_Store_data].[Product Name].&amp;[Safco Chair Connectors, 6/Carton]"/>
            <x15:cachedUniqueName index="327" name="[Super_Store_data].[Product Name].&amp;[Safco Contoured Stacking Chairs]"/>
            <x15:cachedUniqueName index="328" name="[Super_Store_data].[Product Name].&amp;[Safco Drafting Table]"/>
            <x15:cachedUniqueName index="329" name="[Super_Store_data].[Product Name].&amp;[SAFCO Folding Chair Trolley]"/>
            <x15:cachedUniqueName index="330" name="[Super_Store_data].[Product Name].&amp;[SAFCO Optional Arm Kit for Workspace Cribbage Stacking Chair]"/>
            <x15:cachedUniqueName index="331" name="[Super_Store_data].[Product Name].&amp;[SAFCO PlanMaster Boards, 60w x 37-1/2d, White Melamine]"/>
            <x15:cachedUniqueName index="332" name="[Super_Store_data].[Product Name].&amp;[SAFCO PlanMaster Heigh-Adjustable Drafting Table Base, 43w x 30d x 30-37h, Black]"/>
            <x15:cachedUniqueName index="333" name="[Super_Store_data].[Product Name].&amp;[Safco Value Mate Series Steel Bookcases, Baked Enamel Finish on Steel, Gray]"/>
            <x15:cachedUniqueName index="334" name="[Super_Store_data].[Product Name].&amp;[Safco Value Mate Steel Bookcase, Baked Enamel Finish on Steel, Black]"/>
            <x15:cachedUniqueName index="335" name="[Super_Store_data].[Product Name].&amp;[Sauder Barrister Bookcases]"/>
            <x15:cachedUniqueName index="336" name="[Super_Store_data].[Product Name].&amp;[Sauder Camden County Barrister Bookcase, Planked Cherry Finish]"/>
            <x15:cachedUniqueName index="337" name="[Super_Store_data].[Product Name].&amp;[Sauder Camden County Collection Libraries, Planked Cherry Finish]"/>
            <x15:cachedUniqueName index="338" name="[Super_Store_data].[Product Name].&amp;[Sauder Camden County Collection Library]"/>
            <x15:cachedUniqueName index="339" name="[Super_Store_data].[Product Name].&amp;[Sauder Cornerstone Collection Library]"/>
            <x15:cachedUniqueName index="340" name="[Super_Store_data].[Product Name].&amp;[Sauder Facets Collection Library, Sky Alder Finish]"/>
            <x15:cachedUniqueName index="341" name="[Super_Store_data].[Product Name].&amp;[Sauder Forest Hills Library with Doors, Woodland Oak Finish]"/>
            <x15:cachedUniqueName index="342" name="[Super_Store_data].[Product Name].&amp;[Sauder Forest Hills Library, Woodland Oak Finish]"/>
            <x15:cachedUniqueName index="343" name="[Super_Store_data].[Product Name].&amp;[Sauder Inglewood Library Bookcases]"/>
            <x15:cachedUniqueName index="344" name="[Super_Store_data].[Product Name].&amp;[Sauder Mission Library with Doors, Fruitwood Finish]"/>
            <x15:cachedUniqueName index="345" name="[Super_Store_data].[Product Name].&amp;[Seth Thomas 12&quot; Clock w/ Goldtone Case]"/>
            <x15:cachedUniqueName index="346" name="[Super_Store_data].[Product Name].&amp;[Seth Thomas 13 1/2&quot; Wall Clock]"/>
            <x15:cachedUniqueName index="347" name="[Super_Store_data].[Product Name].&amp;[Seth Thomas 14&quot; Day/Date Wall Clock]"/>
            <x15:cachedUniqueName index="348" name="[Super_Store_data].[Product Name].&amp;[Seth Thomas 14&quot; Putty-Colored Wall Clock]"/>
            <x15:cachedUniqueName index="349" name="[Super_Store_data].[Product Name].&amp;[Seth Thomas 16&quot; Steel Case Clock]"/>
            <x15:cachedUniqueName index="350" name="[Super_Store_data].[Product Name].&amp;[Seth Thomas 8 1/2&quot; Cubicle Clock]"/>
            <x15:cachedUniqueName index="351" name="[Super_Store_data].[Product Name].&amp;[Situations Contoured Folding Chairs, 4/Set]"/>
            <x15:cachedUniqueName index="352" name="[Super_Store_data].[Product Name].&amp;[Stackable Trays]"/>
            <x15:cachedUniqueName index="353" name="[Super_Store_data].[Product Name].&amp;[Stacking Tray, Side-Loading, Legal, Smoke]"/>
            <x15:cachedUniqueName index="354" name="[Super_Store_data].[Product Name].&amp;[Stacking Trays by OIC]"/>
            <x15:cachedUniqueName index="355" name="[Super_Store_data].[Product Name].&amp;[Staple-based wall hangings]"/>
            <x15:cachedUniqueName index="356" name="[Super_Store_data].[Product Name].&amp;[Telescoping Adjustable Floor Lamp]"/>
            <x15:cachedUniqueName index="357" name="[Super_Store_data].[Product Name].&amp;[Tenex &quot;The Solids&quot; Textured Chair Mats]"/>
            <x15:cachedUniqueName index="358" name="[Super_Store_data].[Product Name].&amp;[Tenex 46&quot; x 60&quot; Computer Anti-Static Chairmat, Rectangular Shaped]"/>
            <x15:cachedUniqueName index="359" name="[Super_Store_data].[Product Name].&amp;[Tenex Antistatic Computer Chair Mats]"/>
            <x15:cachedUniqueName index="360" name="[Super_Store_data].[Product Name].&amp;[Tenex B1-RE Series Chair Mats for Low Pile Carpets]"/>
            <x15:cachedUniqueName index="361" name="[Super_Store_data].[Product Name].&amp;[Tenex Carpeted, Granite-Look or Clear Contemporary Contour Shape Chair Mats]"/>
            <x15:cachedUniqueName index="362" name="[Super_Store_data].[Product Name].&amp;[Tenex Chairmat w/ Average Lip, 45&quot; x 53&quot;]"/>
            <x15:cachedUniqueName index="363" name="[Super_Store_data].[Product Name].&amp;[Tenex Chairmats For Use With Carpeted Floors]"/>
            <x15:cachedUniqueName index="364" name="[Super_Store_data].[Product Name].&amp;[Tenex Chairmats For Use with Hard Floors]"/>
            <x15:cachedUniqueName index="365" name="[Super_Store_data].[Product Name].&amp;[Tenex Contemporary Contur Chairmats for Low and Medium Pile Carpet, Computer, 39&quot; x 49&quot;]"/>
            <x15:cachedUniqueName index="366" name="[Super_Store_data].[Product Name].&amp;[Tenex Traditional Chairmats for Hard Floors, Average Lip, 36&quot; x 48&quot;]"/>
            <x15:cachedUniqueName index="367" name="[Super_Store_data].[Product Name].&amp;[Tenex Traditional Chairmats for Medium Pile Carpet, Standard Lip, 36&quot; x 48&quot;]"/>
            <x15:cachedUniqueName index="368" name="[Super_Store_data].[Product Name].&amp;[Tenex V2T-RE Standard Weight Series Chair Mat, 45&quot; x 53&quot;, Lip 25&quot; x 12&quot;]"/>
            <x15:cachedUniqueName index="369" name="[Super_Store_data].[Product Name].&amp;[Tensor &quot;Hersey Kiss&quot; Styled Floor Lamp]"/>
            <x15:cachedUniqueName index="370" name="[Super_Store_data].[Product Name].&amp;[Tensor Brushed Steel Torchiere Floor Lamp]"/>
            <x15:cachedUniqueName index="371" name="[Super_Store_data].[Product Name].&amp;[Tensor Computer Mounted Lamp]"/>
            <x15:cachedUniqueName index="372" name="[Super_Store_data].[Product Name].&amp;[Tensor Track Tree Floor Lamp]"/>
            <x15:cachedUniqueName index="373" name="[Super_Store_data].[Product Name].&amp;[Ultra Commercial Grade Dual Valve Door Closer]"/>
            <x15:cachedUniqueName index="374" name="[Super_Store_data].[Product Name].&amp;[Ultra Door Kickplate, 8&quot;H x 34&quot;W]"/>
            <x15:cachedUniqueName index="375" name="[Super_Store_data].[Product Name].&amp;[Ultra Door Pull Handle]"/>
            <x15:cachedUniqueName index="376" name="[Super_Store_data].[Product Name].&amp;[Ultra Door Push Plate]"/>
            <x15:cachedUniqueName index="377" name="[Super_Store_data].[Product Name].&amp;[Westinghouse Clip-On Gooseneck Lamps]"/>
            <x15:cachedUniqueName index="378" name="[Super_Store_data].[Product Name].&amp;[Westinghouse Floor Lamp with Metal Mesh Shade, Black]"/>
            <x15:cachedUniqueName index="379" name="[Super_Store_data].[Product Name].&amp;[Westinghouse Mesh Shade Clip-On Gooseneck Lamp, Black]"/>
          </x15:cachedUniqueNames>
        </ext>
      </extLst>
    </cacheField>
    <cacheField name="[Measures].[Total Profit]" caption="Total Profit" numFmtId="0" hierarchy="52" level="32767"/>
    <cacheField name="[Measures].[#Number of Orders]" caption="#Number of Orders" numFmtId="0" hierarchy="79" level="32767"/>
    <cacheField name="[Measures].[Total Quantity Sold]" caption="Total Quantity Sold" numFmtId="0" hierarchy="54" level="32767"/>
    <cacheField name="[Measures].[Total Discount]" caption="Total Discount" numFmtId="0" hierarchy="55" level="32767"/>
    <cacheField name="[Measures].[Total Revenue]" caption="Total Revenue" numFmtId="0" hierarchy="87"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1"/>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2"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2"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2"/>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0"/>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oneField="1">
      <fieldsUsage count="1">
        <fieldUsage x="3"/>
      </fieldsUsage>
    </cacheHierarchy>
    <cacheHierarchy uniqueName="[Measures].[Total Loss]" caption="Total Loss" measure="1" displayFolder="" measureGroup="Super_Store_data" count="0"/>
    <cacheHierarchy uniqueName="[Measures].[Total Quantity Sold]" caption="Total Quantity Sold" measure="1" displayFolder="" measureGroup="Super_Store_data" count="0" oneField="1">
      <fieldsUsage count="1">
        <fieldUsage x="5"/>
      </fieldsUsage>
    </cacheHierarchy>
    <cacheHierarchy uniqueName="[Measures].[Total Discount]" caption="Total Discount" measure="1" displayFolder="" measureGroup="Super_Store_data" count="0" oneField="1">
      <fieldsUsage count="1">
        <fieldUsage x="6"/>
      </fieldsUsage>
    </cacheHierarchy>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oneField="1">
      <fieldsUsage count="1">
        <fieldUsage x="4"/>
      </fieldsUsage>
    </cacheHierarchy>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oneField="1">
      <fieldsUsage count="1">
        <fieldUsage x="7"/>
      </fieldsUsage>
    </cacheHierarchy>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531481485" backgroundQuery="1" createdVersion="8" refreshedVersion="8" minRefreshableVersion="3" recordCount="0" supportSubquery="1" supportAdvancedDrill="1" xr:uid="{A52CE37F-E3A8-4932-8CAB-53B116589156}">
  <cacheSource type="external" connectionId="6"/>
  <cacheFields count="6">
    <cacheField name="[Super_Store_data].[Product Name].[Product Name]" caption="Product Name" numFmtId="0" hierarchy="32" level="1">
      <sharedItems count="10">
        <s v="Bretford Rectangular Conference Table Tops"/>
        <s v="Bush Advantage Collection Racetrack Conference Table"/>
        <s v="Chromcraft Bull-Nose Wood Oval Conference Tables &amp; Bases"/>
        <s v="DMI Eclipse Executive Suite Bookcases"/>
        <s v="Global Troy Executive Leather Low-Back Tilter"/>
        <s v="GuestStacker Chair with Chrome Finish Legs"/>
        <s v="HON 5400 Series Task Chairs for Big and Tall"/>
        <s v="Hon Deluxe Fabric Upholstered Stacking Chairs, Rounded Back"/>
        <s v="Riverside Palais Royal Lawyers Bookcase, Royale Cherry Finish"/>
        <s v="SAFCO Arco Folding Chair"/>
      </sharedItems>
      <extLst>
        <ext xmlns:x15="http://schemas.microsoft.com/office/spreadsheetml/2010/11/main" uri="{4F2E5C28-24EA-4eb8-9CBF-B6C8F9C3D259}">
          <x15:cachedUniqueNames>
            <x15:cachedUniqueName index="0" name="[Super_Store_data].[Product Name].&amp;[Bretford Rectangular Conference Table Tops]"/>
            <x15:cachedUniqueName index="1" name="[Super_Store_data].[Product Name].&amp;[Bush Advantage Collection Racetrack Conference Table]"/>
            <x15:cachedUniqueName index="2" name="[Super_Store_data].[Product Name].&amp;[Chromcraft Bull-Nose Wood Oval Conference Tables &amp; Bases]"/>
            <x15:cachedUniqueName index="3" name="[Super_Store_data].[Product Name].&amp;[DMI Eclipse Executive Suite Bookcases]"/>
            <x15:cachedUniqueName index="4" name="[Super_Store_data].[Product Name].&amp;[Global Troy Executive Leather Low-Back Tilter]"/>
            <x15:cachedUniqueName index="5" name="[Super_Store_data].[Product Name].&amp;[GuestStacker Chair with Chrome Finish Legs]"/>
            <x15:cachedUniqueName index="6" name="[Super_Store_data].[Product Name].&amp;[HON 5400 Series Task Chairs for Big and Tall]"/>
            <x15:cachedUniqueName index="7" name="[Super_Store_data].[Product Name].&amp;[Hon Deluxe Fabric Upholstered Stacking Chairs, Rounded Back]"/>
            <x15:cachedUniqueName index="8" name="[Super_Store_data].[Product Name].&amp;[Riverside Palais Royal Lawyers Bookcase, Royale Cherry Finish]"/>
            <x15:cachedUniqueName index="9" name="[Super_Store_data].[Product Name].&amp;[SAFCO Arco Folding Chair]"/>
          </x15:cachedUniqueNames>
        </ext>
      </extLst>
    </cacheField>
    <cacheField name="[View].[View].[View]" caption="View" numFmtId="0" hierarchy="41" level="1">
      <sharedItems containsSemiMixedTypes="0" containsNonDate="0" containsString="0"/>
    </cacheField>
    <cacheField name="[Super_Store_data].[Customer Name].[Customer Name]" caption="Customer Name" numFmtId="0" hierarchy="22" level="1">
      <sharedItems count="10">
        <s v="Anna HŠberlin"/>
        <s v="Arthur Gainer"/>
        <s v="Caroline Jumper"/>
        <s v="Emily Phan"/>
        <s v="Irene Maddox"/>
        <s v="Joel Eaton"/>
        <s v="Kelly Lampkin"/>
        <s v="Laura Armstrong"/>
        <s v="Lena Creighton"/>
        <s v="Seth Vernon"/>
      </sharedItems>
      <extLst>
        <ext xmlns:x15="http://schemas.microsoft.com/office/spreadsheetml/2010/11/main" uri="{4F2E5C28-24EA-4eb8-9CBF-B6C8F9C3D259}">
          <x15:cachedUniqueNames>
            <x15:cachedUniqueName index="0" name="[Super_Store_data].[Customer Name].&amp;[Anna HŠberlin]"/>
            <x15:cachedUniqueName index="1" name="[Super_Store_data].[Customer Name].&amp;[Arthur Gainer]"/>
            <x15:cachedUniqueName index="2" name="[Super_Store_data].[Customer Name].&amp;[Caroline Jumper]"/>
            <x15:cachedUniqueName index="3" name="[Super_Store_data].[Customer Name].&amp;[Emily Phan]"/>
            <x15:cachedUniqueName index="4" name="[Super_Store_data].[Customer Name].&amp;[Irene Maddox]"/>
            <x15:cachedUniqueName index="5" name="[Super_Store_data].[Customer Name].&amp;[Joel Eaton]"/>
            <x15:cachedUniqueName index="6" name="[Super_Store_data].[Customer Name].&amp;[Kelly Lampkin]"/>
            <x15:cachedUniqueName index="7" name="[Super_Store_data].[Customer Name].&amp;[Laura Armstrong]"/>
            <x15:cachedUniqueName index="8" name="[Super_Store_data].[Customer Name].&amp;[Lena Creighton]"/>
            <x15:cachedUniqueName index="9" name="[Super_Store_data].[Customer Name].&amp;[Seth Vernon]"/>
          </x15:cachedUniqueNames>
        </ext>
      </extLst>
    </cacheField>
    <cacheField name="[Calendar].[Date (Year)].[Date (Year)]" caption="Date (Year)" numFmtId="0" hierarchy="8" level="1">
      <sharedItems count="4">
        <s v="2014"/>
        <s v="2015"/>
        <s v="2016"/>
        <s v="2017"/>
      </sharedItems>
      <extLst>
        <ext xmlns:x15="http://schemas.microsoft.com/office/spreadsheetml/2010/11/main" uri="{4F2E5C28-24EA-4eb8-9CBF-B6C8F9C3D259}">
          <x15:cachedUniqueNames>
            <x15:cachedUniqueName index="0" name="[Calendar].[Date (Year)].&amp;[2014]"/>
            <x15:cachedUniqueName index="1" name="[Calendar].[Date (Year)].&amp;[2015]"/>
            <x15:cachedUniqueName index="2" name="[Calendar].[Date (Year)].&amp;[2016]"/>
            <x15:cachedUniqueName index="3" name="[Calendar].[Date (Year)].&amp;[2017]"/>
          </x15:cachedUniqueNames>
        </ext>
      </extLst>
    </cacheField>
    <cacheField name="[Measures].[Total Profit]" caption="Total Profit" numFmtId="0" hierarchy="52" level="32767"/>
    <cacheField name="[Calendar].[Date (Quarter)].[Date (Quarter)]" caption="Date (Quarter)" numFmtId="0" hierarchy="9" level="1">
      <sharedItems count="4">
        <s v="Qtr1"/>
        <s v="Qtr2"/>
        <s v="Qtr3"/>
        <s v="Qtr4"/>
      </sharedItems>
      <extLst>
        <ext xmlns:x15="http://schemas.microsoft.com/office/spreadsheetml/2010/11/main" uri="{4F2E5C28-24EA-4eb8-9CBF-B6C8F9C3D259}">
          <x15:cachedUniqueNames>
            <x15:cachedUniqueName index="0" name="[Calendar].[Date (Quarter)].&amp;[Qtr1]"/>
            <x15:cachedUniqueName index="1" name="[Calendar].[Date (Quarter)].&amp;[Qtr2]"/>
            <x15:cachedUniqueName index="2" name="[Calendar].[Date (Quarter)].&amp;[Qtr3]"/>
            <x15:cachedUniqueName index="3" name="[Calendar].[Date (Quarter)].&amp;[Qtr4]"/>
          </x15:cachedUniqueNames>
        </ext>
      </extLst>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3"/>
      </fieldsUsage>
    </cacheHierarchy>
    <cacheHierarchy uniqueName="[Calendar].[Date (Quarter)]" caption="Date (Quarter)" attribute="1" defaultMemberUniqueName="[Calendar].[Date (Quarter)].[All]" allUniqueName="[Calendar].[Date (Quarter)].[All]" dimensionUniqueName="[Calendar]" displayFolder="" count="2" memberValueDatatype="130" unbalanced="0">
      <fieldsUsage count="2">
        <fieldUsage x="-1"/>
        <fieldUsage x="5"/>
      </fieldsUsage>
    </cacheHierarchy>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2" memberValueDatatype="130" unbalanced="0">
      <fieldsUsage count="2">
        <fieldUsage x="-1"/>
        <fieldUsage x="2"/>
      </fieldsUsage>
    </cacheHierarchy>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oneField="1">
      <fieldsUsage count="1">
        <fieldUsage x="4"/>
      </fieldsUsage>
    </cacheHierarchy>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4954050926" backgroundQuery="1" createdVersion="8" refreshedVersion="8" minRefreshableVersion="3" recordCount="0" supportSubquery="1" supportAdvancedDrill="1" xr:uid="{F708FB7D-0CAF-4E6C-ABB1-1613347FABA7}">
  <cacheSource type="external" connectionId="6"/>
  <cacheFields count="5">
    <cacheField name="[Super_Store_data].[Product Name].[Product Name]" caption="Product Name" numFmtId="0" hierarchy="32" level="1">
      <sharedItems count="10">
        <s v="Bretford Rectangular Conference Table Tops"/>
        <s v="Bush Advantage Collection Racetrack Conference Table"/>
        <s v="Chromcraft Bull-Nose Wood Oval Conference Tables &amp; Bases"/>
        <s v="DMI Eclipse Executive Suite Bookcases"/>
        <s v="Global Troy Executive Leather Low-Back Tilter"/>
        <s v="GuestStacker Chair with Chrome Finish Legs"/>
        <s v="HON 5400 Series Task Chairs for Big and Tall"/>
        <s v="Hon Deluxe Fabric Upholstered Stacking Chairs, Rounded Back"/>
        <s v="Riverside Palais Royal Lawyers Bookcase, Royale Cherry Finish"/>
        <s v="SAFCO Arco Folding Chair"/>
      </sharedItems>
      <extLst>
        <ext xmlns:x15="http://schemas.microsoft.com/office/spreadsheetml/2010/11/main" uri="{4F2E5C28-24EA-4eb8-9CBF-B6C8F9C3D259}">
          <x15:cachedUniqueNames>
            <x15:cachedUniqueName index="0" name="[Super_Store_data].[Product Name].&amp;[Bretford Rectangular Conference Table Tops]"/>
            <x15:cachedUniqueName index="1" name="[Super_Store_data].[Product Name].&amp;[Bush Advantage Collection Racetrack Conference Table]"/>
            <x15:cachedUniqueName index="2" name="[Super_Store_data].[Product Name].&amp;[Chromcraft Bull-Nose Wood Oval Conference Tables &amp; Bases]"/>
            <x15:cachedUniqueName index="3" name="[Super_Store_data].[Product Name].&amp;[DMI Eclipse Executive Suite Bookcases]"/>
            <x15:cachedUniqueName index="4" name="[Super_Store_data].[Product Name].&amp;[Global Troy Executive Leather Low-Back Tilter]"/>
            <x15:cachedUniqueName index="5" name="[Super_Store_data].[Product Name].&amp;[GuestStacker Chair with Chrome Finish Legs]"/>
            <x15:cachedUniqueName index="6" name="[Super_Store_data].[Product Name].&amp;[HON 5400 Series Task Chairs for Big and Tall]"/>
            <x15:cachedUniqueName index="7" name="[Super_Store_data].[Product Name].&amp;[Hon Deluxe Fabric Upholstered Stacking Chairs, Rounded Back]"/>
            <x15:cachedUniqueName index="8" name="[Super_Store_data].[Product Name].&amp;[Riverside Palais Royal Lawyers Bookcase, Royale Cherry Finish]"/>
            <x15:cachedUniqueName index="9" name="[Super_Store_data].[Product Name].&amp;[SAFCO Arco Folding Chair]"/>
          </x15:cachedUniqueNames>
        </ext>
      </extLst>
    </cacheField>
    <cacheField name="[View].[View].[View]" caption="View" numFmtId="0" hierarchy="41" level="1">
      <sharedItems containsSemiMixedTypes="0" containsNonDate="0" containsString="0"/>
    </cacheField>
    <cacheField name="[Measures].[Performance_KPIs1]" caption="Performance_KPIs1" numFmtId="0" hierarchy="78" level="32767"/>
    <cacheField name="[Super_Store_data].[Customer Name].[Customer Name]" caption="Customer Name" numFmtId="0" hierarchy="22" level="1">
      <sharedItems count="10">
        <s v="Caroline Jumper"/>
        <s v="Greg Tran"/>
        <s v="Joe Elijah"/>
        <s v="Joel Eaton"/>
        <s v="Joseph Holt"/>
        <s v="Nora Preis"/>
        <s v="Peter Fuller"/>
        <s v="Seth Vernon"/>
        <s v="Tom Prescott"/>
        <s v="Tracy Blumstein"/>
      </sharedItems>
      <extLst>
        <ext xmlns:x15="http://schemas.microsoft.com/office/spreadsheetml/2010/11/main" uri="{4F2E5C28-24EA-4eb8-9CBF-B6C8F9C3D259}">
          <x15:cachedUniqueNames>
            <x15:cachedUniqueName index="0" name="[Super_Store_data].[Customer Name].&amp;[Caroline Jumper]"/>
            <x15:cachedUniqueName index="1" name="[Super_Store_data].[Customer Name].&amp;[Greg Tran]"/>
            <x15:cachedUniqueName index="2" name="[Super_Store_data].[Customer Name].&amp;[Joe Elijah]"/>
            <x15:cachedUniqueName index="3" name="[Super_Store_data].[Customer Name].&amp;[Joel Eaton]"/>
            <x15:cachedUniqueName index="4" name="[Super_Store_data].[Customer Name].&amp;[Joseph Holt]"/>
            <x15:cachedUniqueName index="5" name="[Super_Store_data].[Customer Name].&amp;[Nora Preis]"/>
            <x15:cachedUniqueName index="6" name="[Super_Store_data].[Customer Name].&amp;[Peter Fuller]"/>
            <x15:cachedUniqueName index="7" name="[Super_Store_data].[Customer Name].&amp;[Seth Vernon]"/>
            <x15:cachedUniqueName index="8" name="[Super_Store_data].[Customer Name].&amp;[Tom Prescott]"/>
            <x15:cachedUniqueName index="9" name="[Super_Store_data].[Customer Name].&amp;[Tracy Blumstein]"/>
          </x15:cachedUniqueNames>
        </ext>
      </extLst>
    </cacheField>
    <cacheField name="[Super_Store_data].[City].[City]" caption="City" numFmtId="0" hierarchy="25" level="1">
      <sharedItems count="10">
        <s v="Akron"/>
        <s v="Allentown"/>
        <s v="Coral Gables"/>
        <s v="Coral Springs"/>
        <s v="Cuyahoga Falls"/>
        <s v="Greeley"/>
        <s v="Hillsboro"/>
        <s v="Meridian"/>
        <s v="Mission Viejo"/>
        <s v="Tallahassee"/>
      </sharedItems>
      <extLst>
        <ext xmlns:x15="http://schemas.microsoft.com/office/spreadsheetml/2010/11/main" uri="{4F2E5C28-24EA-4eb8-9CBF-B6C8F9C3D259}">
          <x15:cachedUniqueNames>
            <x15:cachedUniqueName index="0" name="[Super_Store_data].[City].&amp;[Akron]"/>
            <x15:cachedUniqueName index="1" name="[Super_Store_data].[City].&amp;[Allentown]"/>
            <x15:cachedUniqueName index="2" name="[Super_Store_data].[City].&amp;[Coral Gables]"/>
            <x15:cachedUniqueName index="3" name="[Super_Store_data].[City].&amp;[Coral Springs]"/>
            <x15:cachedUniqueName index="4" name="[Super_Store_data].[City].&amp;[Cuyahoga Falls]"/>
            <x15:cachedUniqueName index="5" name="[Super_Store_data].[City].&amp;[Greeley]"/>
            <x15:cachedUniqueName index="6" name="[Super_Store_data].[City].&amp;[Hillsboro]"/>
            <x15:cachedUniqueName index="7" name="[Super_Store_data].[City].&amp;[Meridian]"/>
            <x15:cachedUniqueName index="8" name="[Super_Store_data].[City].&amp;[Mission Viejo]"/>
            <x15:cachedUniqueName index="9" name="[Super_Store_data].[City].&amp;[Tallahassee]"/>
          </x15:cachedUniqueNames>
        </ext>
      </extLst>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2" memberValueDatatype="130" unbalanced="0">
      <fieldsUsage count="2">
        <fieldUsage x="-1"/>
        <fieldUsage x="3"/>
      </fieldsUsage>
    </cacheHierarchy>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2" memberValueDatatype="130" unbalanced="0">
      <fieldsUsage count="2">
        <fieldUsage x="-1"/>
        <fieldUsage x="4"/>
      </fieldsUsage>
    </cacheHierarchy>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2" memberValueDatatype="130" unbalanced="0">
      <fieldsUsage count="2">
        <fieldUsage x="-1"/>
        <fieldUsage x="0"/>
      </fieldsUsage>
    </cacheHierarchy>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fieldsUsage count="2">
        <fieldUsage x="-1"/>
        <fieldUsage x="1"/>
      </fieldsUsage>
    </cacheHierarchy>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oneField="1">
      <fieldsUsage count="1">
        <fieldUsage x="2"/>
      </fieldsUsage>
    </cacheHierarchy>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04837963" backgroundQuery="1" createdVersion="8" refreshedVersion="8" minRefreshableVersion="3" recordCount="0" supportSubquery="1" supportAdvancedDrill="1" xr:uid="{32FD3B18-46AF-4E44-BDAE-6749A61E1AE3}">
  <cacheSource type="external" connectionId="6"/>
  <cacheFields count="3">
    <cacheField name="[Calendar].[Month Name].[Month Name]" caption="Month Name" numFmtId="0" hierarchy="3" level="1">
      <sharedItems count="12">
        <s v="Apr"/>
        <s v="Aug"/>
        <s v="Dec"/>
        <s v="Feb"/>
        <s v="Jan"/>
        <s v="Jul"/>
        <s v="Jun"/>
        <s v="Mar"/>
        <s v="May"/>
        <s v="Nov"/>
        <s v="Oct"/>
        <s v="Sep"/>
      </sharedItems>
      <extLst>
        <ext xmlns:x15="http://schemas.microsoft.com/office/spreadsheetml/2010/11/main" uri="{4F2E5C28-24EA-4eb8-9CBF-B6C8F9C3D259}">
          <x15:cachedUniqueNames>
            <x15:cachedUniqueName index="0" name="[Calendar].[Month Name].&amp;[Apr]"/>
            <x15:cachedUniqueName index="1" name="[Calendar].[Month Name].&amp;[Aug]"/>
            <x15:cachedUniqueName index="2" name="[Calendar].[Month Name].&amp;[Dec]"/>
            <x15:cachedUniqueName index="3" name="[Calendar].[Month Name].&amp;[Feb]"/>
            <x15:cachedUniqueName index="4" name="[Calendar].[Month Name].&amp;[Jan]"/>
            <x15:cachedUniqueName index="5" name="[Calendar].[Month Name].&amp;[Jul]"/>
            <x15:cachedUniqueName index="6" name="[Calendar].[Month Name].&amp;[Jun]"/>
            <x15:cachedUniqueName index="7" name="[Calendar].[Month Name].&amp;[Mar]"/>
            <x15:cachedUniqueName index="8" name="[Calendar].[Month Name].&amp;[May]"/>
            <x15:cachedUniqueName index="9" name="[Calendar].[Month Name].&amp;[Nov]"/>
            <x15:cachedUniqueName index="10" name="[Calendar].[Month Name].&amp;[Oct]"/>
            <x15:cachedUniqueName index="11" name="[Calendar].[Month Name].&amp;[Sep]"/>
          </x15:cachedUniqueNames>
        </ext>
      </extLst>
    </cacheField>
    <cacheField name="[Measures].[Total Revenue]" caption="Total Revenue" numFmtId="0" hierarchy="87" level="32767"/>
    <cacheField name="[Super_Store_data].[Region].[Region]" caption="Region" numFmtId="0" hierarchy="2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fieldsUsage count="2">
        <fieldUsage x="-1"/>
        <fieldUsage x="2"/>
      </fieldsUsage>
    </cacheHierarchy>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oneField="1">
      <fieldsUsage count="1">
        <fieldUsage x="1"/>
      </fieldsUsage>
    </cacheHierarchy>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089699073" backgroundQuery="1" createdVersion="8" refreshedVersion="8" minRefreshableVersion="3" recordCount="0" supportSubquery="1" supportAdvancedDrill="1" xr:uid="{01768690-86C5-4568-B0BE-9C6D3EBD4E45}">
  <cacheSource type="external" connectionId="6"/>
  <cacheFields count="6">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46">
        <s v="Ohio"/>
        <s v="Virginia"/>
        <s v="Pennsylvania"/>
        <s v="California"/>
        <s v="Massachusetts"/>
        <s v="Florida"/>
        <s v="Colorado"/>
        <s v="Georgia"/>
        <s v="Alabama"/>
        <s v="New York"/>
        <s v="Washington"/>
        <s v="Maryland"/>
        <s v="Maine"/>
        <s v="New Jersey"/>
        <s v="Indiana"/>
        <s v="Idaho"/>
        <s v="Louisiana"/>
        <s v="Kentucky"/>
        <s v="Tennessee"/>
        <s v="Oklahoma"/>
        <s v="Arizona"/>
        <s v="Vermont"/>
        <s v="Michigan"/>
        <s v="North Carolina"/>
        <s v="Wyoming"/>
        <s v="Missouri"/>
        <s v="South Carolina"/>
        <s v="New Hampshire"/>
        <s v="Arkansas"/>
        <s v="Rhode Island"/>
        <s v="Connecticut"/>
        <s v="Iowa"/>
        <s v="Delaware"/>
        <s v="Utah"/>
        <s v="Wisconsin"/>
        <s v="New Mexico"/>
        <s v="Nebraska"/>
        <s v="Oregon"/>
        <s v="Mississippi"/>
        <s v="Montana"/>
        <s v="Nevada"/>
        <s v="Minnesota"/>
        <s v="Kansas"/>
        <s v="South Dakota"/>
        <s v="Texas"/>
        <s v="District of Columbia"/>
      </sharedItems>
    </cacheField>
    <cacheField name="[Calendar].[Date (Year)].[Date (Year)]" caption="Date (Year)" numFmtId="0" hierarchy="8" level="1">
      <sharedItems count="4">
        <s v="2014"/>
        <s v="2015"/>
        <s v="2016"/>
        <s v="2017"/>
      </sharedItems>
      <extLst>
        <ext xmlns:x15="http://schemas.microsoft.com/office/spreadsheetml/2010/11/main" uri="{4F2E5C28-24EA-4eb8-9CBF-B6C8F9C3D259}">
          <x15:cachedUniqueNames>
            <x15:cachedUniqueName index="0" name="[Calendar].[Date (Year)].&amp;[2014]"/>
            <x15:cachedUniqueName index="1" name="[Calendar].[Date (Year)].&amp;[2015]"/>
            <x15:cachedUniqueName index="2" name="[Calendar].[Date (Year)].&amp;[2016]"/>
            <x15:cachedUniqueName index="3" name="[Calendar].[Date (Year)].&amp;[2017]"/>
          </x15:cachedUniqueNames>
        </ext>
      </extLst>
    </cacheField>
    <cacheField name="[Measures].[KPIsDiscount]" caption="KPIsDiscount" numFmtId="0" hierarchy="76" level="32767"/>
    <cacheField name="[Measures].[KPIsYOYDiscount]" caption="KPIsYOYDiscount" numFmtId="0" hierarchy="72" level="32767"/>
    <cacheField name="[Super_Store_data].[Region].[Region]" caption="Region" numFmtId="0" hierarchy="2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fieldsUsage count="2">
        <fieldUsage x="-1"/>
        <fieldUsage x="5"/>
      </fieldsUsage>
    </cacheHierarchy>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oneField="1">
      <fieldsUsage count="1">
        <fieldUsage x="4"/>
      </fieldsUsage>
    </cacheHierarchy>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oneField="1">
      <fieldsUsage count="1">
        <fieldUsage x="3"/>
      </fieldsUsage>
    </cacheHierarchy>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09363426" backgroundQuery="1" createdVersion="8" refreshedVersion="8" minRefreshableVersion="3" recordCount="0" supportSubquery="1" supportAdvancedDrill="1" xr:uid="{0EDE51BA-976D-4746-A2CE-977DD028546F}">
  <cacheSource type="external" connectionId="6"/>
  <cacheFields count="6">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46">
        <s v="Ohio"/>
        <s v="Virginia"/>
        <s v="Pennsylvania"/>
        <s v="California"/>
        <s v="Massachusetts"/>
        <s v="Florida"/>
        <s v="Colorado"/>
        <s v="Georgia"/>
        <s v="Alabama"/>
        <s v="New York"/>
        <s v="Washington"/>
        <s v="Maryland"/>
        <s v="Maine"/>
        <s v="New Jersey"/>
        <s v="Indiana"/>
        <s v="Idaho"/>
        <s v="Louisiana"/>
        <s v="Kentucky"/>
        <s v="Tennessee"/>
        <s v="Oklahoma"/>
        <s v="Arizona"/>
        <s v="Vermont"/>
        <s v="Michigan"/>
        <s v="North Carolina"/>
        <s v="Wyoming"/>
        <s v="Missouri"/>
        <s v="South Carolina"/>
        <s v="New Hampshire"/>
        <s v="Arkansas"/>
        <s v="Rhode Island"/>
        <s v="Connecticut"/>
        <s v="Iowa"/>
        <s v="Delaware"/>
        <s v="Utah"/>
        <s v="Wisconsin"/>
        <s v="New Mexico"/>
        <s v="Nebraska"/>
        <s v="Oregon"/>
        <s v="Mississippi"/>
        <s v="Montana"/>
        <s v="Nevada"/>
        <s v="Minnesota"/>
        <s v="Kansas"/>
        <s v="South Dakota"/>
        <s v="Texas"/>
        <s v="District of Columbia"/>
      </sharedItems>
    </cacheField>
    <cacheField name="[Calendar].[Date (Year)].[Date (Year)]" caption="Date (Year)" numFmtId="0" hierarchy="8" level="1">
      <sharedItems count="4">
        <s v="2014"/>
        <s v="2015"/>
        <s v="2016"/>
        <s v="2017"/>
      </sharedItems>
      <extLst>
        <ext xmlns:x15="http://schemas.microsoft.com/office/spreadsheetml/2010/11/main" uri="{4F2E5C28-24EA-4eb8-9CBF-B6C8F9C3D259}">
          <x15:cachedUniqueNames>
            <x15:cachedUniqueName index="0" name="[Calendar].[Date (Year)].&amp;[2014]"/>
            <x15:cachedUniqueName index="1" name="[Calendar].[Date (Year)].&amp;[2015]"/>
            <x15:cachedUniqueName index="2" name="[Calendar].[Date (Year)].&amp;[2016]"/>
            <x15:cachedUniqueName index="3" name="[Calendar].[Date (Year)].&amp;[2017]"/>
          </x15:cachedUniqueNames>
        </ext>
      </extLst>
    </cacheField>
    <cacheField name="[Measures].[KPIsCost]" caption="KPIsCost" numFmtId="0" hierarchy="74" level="32767"/>
    <cacheField name="[Measures].[KPIsYOYCost]" caption="KPIsYOYCost" numFmtId="0" hierarchy="70" level="32767"/>
    <cacheField name="[Super_Store_data].[Region].[Region]" caption="Region" numFmtId="0" hierarchy="2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fieldsUsage count="2">
        <fieldUsage x="-1"/>
        <fieldUsage x="5"/>
      </fieldsUsage>
    </cacheHierarchy>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oneField="1">
      <fieldsUsage count="1">
        <fieldUsage x="4"/>
      </fieldsUsage>
    </cacheHierarchy>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oneField="1">
      <fieldsUsage count="1">
        <fieldUsage x="3"/>
      </fieldsUsage>
    </cacheHierarchy>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161111112" backgroundQuery="1" createdVersion="8" refreshedVersion="8" minRefreshableVersion="3" recordCount="0" supportSubquery="1" supportAdvancedDrill="1" xr:uid="{AC9E72D2-67D1-4585-868A-FEF7CDF98AEE}">
  <cacheSource type="external" connectionId="6"/>
  <cacheFields count="4">
    <cacheField name="[Calendar].[Month Name].[Month Name]" caption="Month Name" numFmtId="0" hierarchy="3" level="1">
      <sharedItems count="12">
        <s v="Apr"/>
        <s v="Aug"/>
        <s v="Dec"/>
        <s v="Feb"/>
        <s v="Jan"/>
        <s v="Jul"/>
        <s v="Jun"/>
        <s v="Mar"/>
        <s v="May"/>
        <s v="Nov"/>
        <s v="Oct"/>
        <s v="Sep"/>
      </sharedItems>
    </cacheField>
    <cacheField name="[Super_Store_data].[ShippingDuration].[ShippingDuration]" caption="ShippingDuration" numFmtId="0" hierarchy="37" level="1">
      <sharedItems count="8">
        <s v="0Days"/>
        <s v="1Days"/>
        <s v="2Days"/>
        <s v="3Days"/>
        <s v="4Days"/>
        <s v="5Days"/>
        <s v="6Days"/>
        <s v="7Days"/>
      </sharedItems>
      <extLst>
        <ext xmlns:x15="http://schemas.microsoft.com/office/spreadsheetml/2010/11/main" uri="{4F2E5C28-24EA-4eb8-9CBF-B6C8F9C3D259}">
          <x15:cachedUniqueNames>
            <x15:cachedUniqueName index="0" name="[Super_Store_data].[ShippingDuration].&amp;[0Days]"/>
            <x15:cachedUniqueName index="1" name="[Super_Store_data].[ShippingDuration].&amp;[1Days]"/>
            <x15:cachedUniqueName index="2" name="[Super_Store_data].[ShippingDuration].&amp;[2Days]"/>
            <x15:cachedUniqueName index="3" name="[Super_Store_data].[ShippingDuration].&amp;[3Days]"/>
            <x15:cachedUniqueName index="4" name="[Super_Store_data].[ShippingDuration].&amp;[4Days]"/>
            <x15:cachedUniqueName index="5" name="[Super_Store_data].[ShippingDuration].&amp;[5Days]"/>
            <x15:cachedUniqueName index="6" name="[Super_Store_data].[ShippingDuration].&amp;[6Days]"/>
            <x15:cachedUniqueName index="7" name="[Super_Store_data].[ShippingDuration].&amp;[7Days]"/>
          </x15:cachedUniqueNames>
        </ext>
      </extLst>
    </cacheField>
    <cacheField name="[Measures].[Count of Order ID]" caption="Count of Order ID" numFmtId="0" hierarchy="46" level="32767"/>
    <cacheField name="[Calendar].[Date (Year)].[Date (Year)]" caption="Date (Year)" numFmtId="0" hierarchy="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3"/>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2" memberValueDatatype="130" unbalanced="0">
      <fieldsUsage count="2">
        <fieldUsage x="-1"/>
        <fieldUsage x="1"/>
      </fieldsUsage>
    </cacheHierarchy>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oneField="1">
      <fieldsUsage count="1">
        <fieldUsage x="2"/>
      </fieldsUsage>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1662037" backgroundQuery="1" createdVersion="8" refreshedVersion="8" minRefreshableVersion="3" recordCount="0" supportSubquery="1" supportAdvancedDrill="1" xr:uid="{C1F5AE97-8CEB-4DBD-BB0F-C0CDC17D0DCD}">
  <cacheSource type="external" connectionId="6"/>
  <cacheFields count="4">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5">
        <s v="California"/>
        <s v="Michigan"/>
        <s v="New York"/>
        <s v="Virginia"/>
        <s v="Washington"/>
      </sharedItems>
      <extLst>
        <ext xmlns:x15="http://schemas.microsoft.com/office/spreadsheetml/2010/11/main" uri="{4F2E5C28-24EA-4eb8-9CBF-B6C8F9C3D259}">
          <x15:cachedUniqueNames>
            <x15:cachedUniqueName index="0" name="[Super_Store_data].[State].&amp;[California]"/>
            <x15:cachedUniqueName index="1" name="[Super_Store_data].[State].&amp;[Michigan]"/>
            <x15:cachedUniqueName index="2" name="[Super_Store_data].[State].&amp;[New York]"/>
            <x15:cachedUniqueName index="3" name="[Super_Store_data].[State].&amp;[Virginia]"/>
            <x15:cachedUniqueName index="4" name="[Super_Store_data].[State].&amp;[Washington]"/>
          </x15:cachedUniqueNames>
        </ext>
      </extLst>
    </cacheField>
    <cacheField name="[Measures].[Total Profit]" caption="Total Profit" numFmtId="0" hierarchy="52" level="32767"/>
    <cacheField name="[Calendar].[Date (Year)].[Date (Year)]" caption="Date (Year)" numFmtId="0" hierarchy="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3"/>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oneField="1">
      <fieldsUsage count="1">
        <fieldUsage x="2"/>
      </fieldsUsage>
    </cacheHierarchy>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172453704" backgroundQuery="1" createdVersion="8" refreshedVersion="8" minRefreshableVersion="3" recordCount="0" supportSubquery="1" supportAdvancedDrill="1" xr:uid="{F2CAA222-A08D-4F45-9E76-E6B6408F6AC7}">
  <cacheSource type="external" connectionId="6"/>
  <cacheFields count="4">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12">
        <s v="Kansas"/>
        <s v="Maine"/>
        <s v="Montana"/>
        <s v="South Dakota"/>
        <s v="Texas"/>
        <s v="District of Columbia" u="1"/>
        <s v="Idaho" u="1"/>
        <s v="Iowa" u="1"/>
        <s v="Nebraska" u="1"/>
        <s v="New Hampshire" u="1"/>
        <s v="Ohio" u="1"/>
        <s v="Pennsylvania" u="1"/>
      </sharedItems>
      <extLst>
        <ext xmlns:x15="http://schemas.microsoft.com/office/spreadsheetml/2010/11/main" uri="{4F2E5C28-24EA-4eb8-9CBF-B6C8F9C3D259}">
          <x15:cachedUniqueNames>
            <x15:cachedUniqueName index="0" name="[Super_Store_data].[State].&amp;[Kansas]"/>
            <x15:cachedUniqueName index="1" name="[Super_Store_data].[State].&amp;[Maine]"/>
            <x15:cachedUniqueName index="2" name="[Super_Store_data].[State].&amp;[Montana]"/>
            <x15:cachedUniqueName index="3" name="[Super_Store_data].[State].&amp;[South Dakota]"/>
            <x15:cachedUniqueName index="4" name="[Super_Store_data].[State].&amp;[Texas]"/>
            <x15:cachedUniqueName index="5" name="[Super_Store_data].[State].&amp;[District of Columbia]"/>
            <x15:cachedUniqueName index="6" name="[Super_Store_data].[State].&amp;[Idaho]"/>
            <x15:cachedUniqueName index="7" name="[Super_Store_data].[State].&amp;[Iowa]"/>
            <x15:cachedUniqueName index="8" name="[Super_Store_data].[State].&amp;[Nebraska]"/>
            <x15:cachedUniqueName index="9" name="[Super_Store_data].[State].&amp;[New Hampshire]"/>
            <x15:cachedUniqueName index="10" name="[Super_Store_data].[State].&amp;[Ohio]"/>
            <x15:cachedUniqueName index="11" name="[Super_Store_data].[State].&amp;[Pennsylvania]"/>
          </x15:cachedUniqueNames>
        </ext>
      </extLst>
    </cacheField>
    <cacheField name="[Measures].[Total Profit]" caption="Total Profit" numFmtId="0" hierarchy="52" level="32767"/>
    <cacheField name="[Calendar].[Date (Year)].[Date (Year)]" caption="Date (Year)" numFmtId="0" hierarchy="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3"/>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oneField="1">
      <fieldsUsage count="1">
        <fieldUsage x="2"/>
      </fieldsUsage>
    </cacheHierarchy>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177430554" backgroundQuery="1" createdVersion="8" refreshedVersion="8" minRefreshableVersion="3" recordCount="0" supportSubquery="1" supportAdvancedDrill="1" xr:uid="{C4FD83F3-5FE6-4140-868A-EA7FD7389807}">
  <cacheSource type="external" connectionId="6"/>
  <cacheFields count="4">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46">
        <s v="Ohio"/>
        <s v="Virginia"/>
        <s v="Pennsylvania"/>
        <s v="California"/>
        <s v="Massachusetts"/>
        <s v="Florida"/>
        <s v="Colorado"/>
        <s v="Georgia"/>
        <s v="Alabama"/>
        <s v="New York"/>
        <s v="Washington"/>
        <s v="Maryland"/>
        <s v="Maine"/>
        <s v="New Jersey"/>
        <s v="Indiana"/>
        <s v="Idaho"/>
        <s v="Louisiana"/>
        <s v="Kentucky"/>
        <s v="Tennessee"/>
        <s v="Oklahoma"/>
        <s v="Arizona"/>
        <s v="Vermont"/>
        <s v="Michigan"/>
        <s v="North Carolina"/>
        <s v="Wyoming"/>
        <s v="Missouri"/>
        <s v="South Carolina"/>
        <s v="New Hampshire"/>
        <s v="Arkansas"/>
        <s v="Rhode Island"/>
        <s v="Connecticut"/>
        <s v="Iowa"/>
        <s v="Delaware"/>
        <s v="Utah"/>
        <s v="Wisconsin"/>
        <s v="New Mexico"/>
        <s v="Nebraska"/>
        <s v="Oregon"/>
        <s v="Mississippi"/>
        <s v="Montana"/>
        <s v="Nevada"/>
        <s v="Minnesota"/>
        <s v="Kansas"/>
        <s v="South Dakota"/>
        <s v="Texas"/>
        <s v="District of Columbia"/>
      </sharedItems>
    </cacheField>
    <cacheField name="[Calendar].[Date (Year)].[Date (Year)]" caption="Date (Year)" numFmtId="0" hierarchy="8" level="1">
      <sharedItems count="4">
        <s v="2014"/>
        <s v="2015"/>
        <s v="2016"/>
        <s v="2017"/>
      </sharedItems>
      <extLst>
        <ext xmlns:x15="http://schemas.microsoft.com/office/spreadsheetml/2010/11/main" uri="{4F2E5C28-24EA-4eb8-9CBF-B6C8F9C3D259}">
          <x15:cachedUniqueNames>
            <x15:cachedUniqueName index="0" name="[Calendar].[Date (Year)].&amp;[2014]"/>
            <x15:cachedUniqueName index="1" name="[Calendar].[Date (Year)].&amp;[2015]"/>
            <x15:cachedUniqueName index="2" name="[Calendar].[Date (Year)].&amp;[2016]"/>
            <x15:cachedUniqueName index="3" name="[Calendar].[Date (Year)].&amp;[2017]"/>
          </x15:cachedUniqueNames>
        </ext>
      </extLst>
    </cacheField>
    <cacheField name="[Measures].[AdjustedKPIs]" caption="AdjustedKPIs" numFmtId="0" hierarchy="68"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oneField="1">
      <fieldsUsage count="1">
        <fieldUsage x="3"/>
      </fieldsUsage>
    </cacheHierarchy>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18148148" backgroundQuery="1" createdVersion="8" refreshedVersion="8" minRefreshableVersion="3" recordCount="0" supportSubquery="1" supportAdvancedDrill="1" xr:uid="{9ED8B71D-7B74-4C90-BBB5-E8A34EEEBAF7}">
  <cacheSource type="external" connectionId="6"/>
  <cacheFields count="5">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10">
        <s v="Kansas"/>
        <s v="Maine"/>
        <s v="Montana"/>
        <s v="South Dakota"/>
        <s v="Texas"/>
        <s v="Oregon" u="1"/>
        <s v="Nebraska" u="1"/>
        <s v="Mississippi" u="1"/>
        <s v="Connecticut" u="1"/>
        <s v="New Jersey" u="1"/>
      </sharedItems>
    </cacheField>
    <cacheField name="[Super_Store_data].[Region].[Region]" caption="Region" numFmtId="0" hierarchy="28" level="1">
      <sharedItems count="4">
        <s v="Central"/>
        <s v="East"/>
        <s v="South"/>
        <s v="West"/>
      </sharedItems>
      <extLst>
        <ext xmlns:x15="http://schemas.microsoft.com/office/spreadsheetml/2010/11/main" uri="{4F2E5C28-24EA-4eb8-9CBF-B6C8F9C3D259}">
          <x15:cachedUniqueNames>
            <x15:cachedUniqueName index="0" name="[Super_Store_data].[Region].&amp;[Central]"/>
            <x15:cachedUniqueName index="1" name="[Super_Store_data].[Region].&amp;[East]"/>
            <x15:cachedUniqueName index="2" name="[Super_Store_data].[Region].&amp;[South]"/>
            <x15:cachedUniqueName index="3" name="[Super_Store_data].[Region].&amp;[West]"/>
          </x15:cachedUniqueNames>
        </ext>
      </extLst>
    </cacheField>
    <cacheField name="[Measures].[Total Revenue]" caption="Total Revenue" numFmtId="0" hierarchy="87" level="32767"/>
    <cacheField name="[Calendar].[Date (Year)].[Date (Year)]" caption="Date (Year)" numFmtId="0" hierarchy="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4"/>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fieldsUsage count="2">
        <fieldUsage x="-1"/>
        <fieldUsage x="2"/>
      </fieldsUsage>
    </cacheHierarchy>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oneField="1">
      <fieldsUsage count="1">
        <fieldUsage x="3"/>
      </fieldsUsage>
    </cacheHierarchy>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187847222" backgroundQuery="1" createdVersion="8" refreshedVersion="8" minRefreshableVersion="3" recordCount="0" supportSubquery="1" supportAdvancedDrill="1" xr:uid="{134CF2A8-D939-4939-B393-876E85CD418A}">
  <cacheSource type="external" connectionId="6"/>
  <cacheFields count="5">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46">
        <s v="Ohio"/>
        <s v="Virginia"/>
        <s v="Pennsylvania"/>
        <s v="California"/>
        <s v="Massachusetts"/>
        <s v="Florida"/>
        <s v="Colorado"/>
        <s v="Georgia"/>
        <s v="Alabama"/>
        <s v="New York"/>
        <s v="Washington"/>
        <s v="Maryland"/>
        <s v="Maine"/>
        <s v="New Jersey"/>
        <s v="Indiana"/>
        <s v="Idaho"/>
        <s v="Louisiana"/>
        <s v="Kentucky"/>
        <s v="Tennessee"/>
        <s v="Oklahoma"/>
        <s v="Arizona"/>
        <s v="Vermont"/>
        <s v="Michigan"/>
        <s v="North Carolina"/>
        <s v="Wyoming"/>
        <s v="Missouri"/>
        <s v="South Carolina"/>
        <s v="New Hampshire"/>
        <s v="Arkansas"/>
        <s v="Rhode Island"/>
        <s v="Connecticut"/>
        <s v="Iowa"/>
        <s v="Delaware"/>
        <s v="Utah"/>
        <s v="Wisconsin"/>
        <s v="New Mexico"/>
        <s v="Nebraska"/>
        <s v="Oregon"/>
        <s v="Mississippi"/>
        <s v="Montana"/>
        <s v="Nevada"/>
        <s v="Minnesota"/>
        <s v="Kansas"/>
        <s v="South Dakota"/>
        <s v="Texas"/>
        <s v="District of Columbia"/>
      </sharedItems>
    </cacheField>
    <cacheField name="[Measures].[Total Revenue]" caption="Total Revenue" numFmtId="0" hierarchy="87" level="32767"/>
    <cacheField name="[Super_Store_data].[Segment].[Segment]" caption="Segment" numFmtId="0" hierarchy="23" level="1">
      <sharedItems count="3">
        <s v="Consumer"/>
        <s v="Corporate"/>
        <s v="Home Office"/>
      </sharedItems>
      <extLst>
        <ext xmlns:x15="http://schemas.microsoft.com/office/spreadsheetml/2010/11/main" uri="{4F2E5C28-24EA-4eb8-9CBF-B6C8F9C3D259}">
          <x15:cachedUniqueNames>
            <x15:cachedUniqueName index="0" name="[Super_Store_data].[Segment].&amp;[Consumer]"/>
            <x15:cachedUniqueName index="1" name="[Super_Store_data].[Segment].&amp;[Corporate]"/>
            <x15:cachedUniqueName index="2" name="[Super_Store_data].[Segment].&amp;[Home Office]"/>
          </x15:cachedUniqueNames>
        </ext>
      </extLst>
    </cacheField>
    <cacheField name="[Calendar].[Date (Year)].[Date (Year)]" caption="Date (Year)" numFmtId="0" hierarchy="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4"/>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2" memberValueDatatype="130" unbalanced="0">
      <fieldsUsage count="2">
        <fieldUsage x="-1"/>
        <fieldUsage x="3"/>
      </fieldsUsage>
    </cacheHierarchy>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oneField="1">
      <fieldsUsage count="1">
        <fieldUsage x="2"/>
      </fieldsUsage>
    </cacheHierarchy>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19340278" backgroundQuery="1" createdVersion="8" refreshedVersion="8" minRefreshableVersion="3" recordCount="0" supportSubquery="1" supportAdvancedDrill="1" xr:uid="{5B15FB10-E594-415A-A095-BC9D83FA2746}">
  <cacheSource type="external" connectionId="6"/>
  <cacheFields count="4">
    <cacheField name="[Calendar].[Month Name].[Month Name]" caption="Month Name" numFmtId="0" hierarchy="3" level="1">
      <sharedItems count="12">
        <s v="April"/>
        <s v="August"/>
        <s v="December"/>
        <s v="February"/>
        <s v="January"/>
        <s v="July"/>
        <s v="June"/>
        <s v="March"/>
        <s v="May"/>
        <s v="November"/>
        <s v="October"/>
        <s v="September"/>
      </sharedItems>
    </cacheField>
    <cacheField name="[Super_Store_data].[Ship Mode].[Ship Mode]" caption="Ship Mode" numFmtId="0" hierarchy="20" level="1">
      <sharedItems count="4">
        <s v="First Class"/>
        <s v="Same Day"/>
        <s v="Second Class"/>
        <s v="Standard Class"/>
      </sharedItems>
      <extLst>
        <ext xmlns:x15="http://schemas.microsoft.com/office/spreadsheetml/2010/11/main" uri="{4F2E5C28-24EA-4eb8-9CBF-B6C8F9C3D259}">
          <x15:cachedUniqueNames>
            <x15:cachedUniqueName index="0" name="[Super_Store_data].[Ship Mode].&amp;[First Class]"/>
            <x15:cachedUniqueName index="1" name="[Super_Store_data].[Ship Mode].&amp;[Same Day]"/>
            <x15:cachedUniqueName index="2" name="[Super_Store_data].[Ship Mode].&amp;[Second Class]"/>
            <x15:cachedUniqueName index="3" name="[Super_Store_data].[Ship Mode].&amp;[Standard Class]"/>
          </x15:cachedUniqueNames>
        </ext>
      </extLst>
    </cacheField>
    <cacheField name="[Measures].[Count of Order ID]" caption="Count of Order ID" numFmtId="0" hierarchy="46" level="32767"/>
    <cacheField name="[Calendar].[Date (Year)].[Date (Year)]" caption="Date (Year)" numFmtId="0" hierarchy="8" level="1">
      <sharedItems containsSemiMixedTypes="0" containsNonDate="0" containsString="0"/>
    </cacheField>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3"/>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2" memberValueDatatype="130" unbalanced="0">
      <fieldsUsage count="2">
        <fieldUsage x="-1"/>
        <fieldUsage x="1"/>
      </fieldsUsage>
    </cacheHierarchy>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oneField="1">
      <fieldsUsage count="1">
        <fieldUsage x="2"/>
      </fieldsUsage>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198611114" backgroundQuery="1" createdVersion="8" refreshedVersion="8" minRefreshableVersion="3" recordCount="0" supportSubquery="1" supportAdvancedDrill="1" xr:uid="{7A2E19B0-7970-4D12-A1D2-1C1B0085A9FA}">
  <cacheSource type="external" connectionId="6"/>
  <cacheFields count="5">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46">
        <s v="Ohio"/>
        <s v="Virginia"/>
        <s v="Pennsylvania"/>
        <s v="California"/>
        <s v="Massachusetts"/>
        <s v="Florida"/>
        <s v="Colorado"/>
        <s v="Georgia"/>
        <s v="Alabama"/>
        <s v="New York"/>
        <s v="Washington"/>
        <s v="Maryland"/>
        <s v="Maine"/>
        <s v="New Jersey"/>
        <s v="Indiana"/>
        <s v="Idaho"/>
        <s v="Louisiana"/>
        <s v="Kentucky"/>
        <s v="Tennessee"/>
        <s v="Oklahoma"/>
        <s v="Arizona"/>
        <s v="Vermont"/>
        <s v="Michigan"/>
        <s v="North Carolina"/>
        <s v="Wyoming"/>
        <s v="Missouri"/>
        <s v="South Carolina"/>
        <s v="New Hampshire"/>
        <s v="Arkansas"/>
        <s v="Rhode Island"/>
        <s v="Connecticut"/>
        <s v="Iowa"/>
        <s v="Delaware"/>
        <s v="Utah"/>
        <s v="Wisconsin"/>
        <s v="New Mexico"/>
        <s v="Nebraska"/>
        <s v="Oregon"/>
        <s v="Mississippi"/>
        <s v="Montana"/>
        <s v="Nevada"/>
        <s v="Minnesota"/>
        <s v="Kansas"/>
        <s v="South Dakota"/>
        <s v="Texas"/>
        <s v="District of Columbia"/>
      </sharedItems>
    </cacheField>
    <cacheField name="[Calendar].[Date (Year)].[Date (Year)]" caption="Date (Year)" numFmtId="0" hierarchy="8" level="1">
      <sharedItems count="4">
        <s v="2014"/>
        <s v="2015"/>
        <s v="2016"/>
        <s v="2017"/>
      </sharedItems>
      <extLst>
        <ext xmlns:x15="http://schemas.microsoft.com/office/spreadsheetml/2010/11/main" uri="{4F2E5C28-24EA-4eb8-9CBF-B6C8F9C3D259}">
          <x15:cachedUniqueNames>
            <x15:cachedUniqueName index="0" name="[Calendar].[Date (Year)].&amp;[2014]"/>
            <x15:cachedUniqueName index="1" name="[Calendar].[Date (Year)].&amp;[2015]"/>
            <x15:cachedUniqueName index="2" name="[Calendar].[Date (Year)].&amp;[2016]"/>
            <x15:cachedUniqueName index="3" name="[Calendar].[Date (Year)].&amp;[2017]"/>
          </x15:cachedUniqueNames>
        </ext>
      </extLst>
    </cacheField>
    <cacheField name="[Measures].[KPIsProfit]" caption="KPIsProfit" numFmtId="0" hierarchy="73" level="32767"/>
    <cacheField name="[Measures].[KPIsYOYProfit]" caption="KPIsYOYProfit" numFmtId="0" hierarchy="69"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oneField="1">
      <fieldsUsage count="1">
        <fieldUsage x="4"/>
      </fieldsUsage>
    </cacheHierarchy>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oneField="1">
      <fieldsUsage count="1">
        <fieldUsage x="3"/>
      </fieldsUsage>
    </cacheHierarchy>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202546294" backgroundQuery="1" createdVersion="8" refreshedVersion="8" minRefreshableVersion="3" recordCount="0" supportSubquery="1" supportAdvancedDrill="1" xr:uid="{52897400-5FCD-4033-9E4C-FD351B4AC9D1}">
  <cacheSource type="external" connectionId="6"/>
  <cacheFields count="5">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46">
        <s v="Ohio"/>
        <s v="Virginia"/>
        <s v="Pennsylvania"/>
        <s v="California"/>
        <s v="Massachusetts"/>
        <s v="Florida"/>
        <s v="Colorado"/>
        <s v="Georgia"/>
        <s v="Alabama"/>
        <s v="New York"/>
        <s v="Washington"/>
        <s v="Maryland"/>
        <s v="Maine"/>
        <s v="New Jersey"/>
        <s v="Indiana"/>
        <s v="Idaho"/>
        <s v="Louisiana"/>
        <s v="Kentucky"/>
        <s v="Tennessee"/>
        <s v="Oklahoma"/>
        <s v="Arizona"/>
        <s v="Vermont"/>
        <s v="Michigan"/>
        <s v="North Carolina"/>
        <s v="Wyoming"/>
        <s v="Missouri"/>
        <s v="South Carolina"/>
        <s v="New Hampshire"/>
        <s v="Arkansas"/>
        <s v="Rhode Island"/>
        <s v="Connecticut"/>
        <s v="Iowa"/>
        <s v="Delaware"/>
        <s v="Utah"/>
        <s v="Wisconsin"/>
        <s v="New Mexico"/>
        <s v="Nebraska"/>
        <s v="Oregon"/>
        <s v="Mississippi"/>
        <s v="Montana"/>
        <s v="Nevada"/>
        <s v="Minnesota"/>
        <s v="Kansas"/>
        <s v="South Dakota"/>
        <s v="Texas"/>
        <s v="District of Columbia"/>
      </sharedItems>
    </cacheField>
    <cacheField name="[Calendar].[Date (Year)].[Date (Year)]" caption="Date (Year)" numFmtId="0" hierarchy="8" level="1">
      <sharedItems count="4">
        <s v="2014"/>
        <s v="2015"/>
        <s v="2016"/>
        <s v="2017"/>
      </sharedItems>
      <extLst>
        <ext xmlns:x15="http://schemas.microsoft.com/office/spreadsheetml/2010/11/main" uri="{4F2E5C28-24EA-4eb8-9CBF-B6C8F9C3D259}">
          <x15:cachedUniqueNames>
            <x15:cachedUniqueName index="0" name="[Calendar].[Date (Year)].&amp;[2014]"/>
            <x15:cachedUniqueName index="1" name="[Calendar].[Date (Year)].&amp;[2015]"/>
            <x15:cachedUniqueName index="2" name="[Calendar].[Date (Year)].&amp;[2016]"/>
            <x15:cachedUniqueName index="3" name="[Calendar].[Date (Year)].&amp;[2017]"/>
          </x15:cachedUniqueNames>
        </ext>
      </extLst>
    </cacheField>
    <cacheField name="[Measures].[KPIsQuantity_sold]" caption="KPIsQuantity_sold" numFmtId="0" hierarchy="84" level="32767"/>
    <cacheField name="[Measures].[KPIsYOYQuantity_Sold]" caption="KPIsYOYQuantity_Sold" numFmtId="0" hierarchy="85"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oneField="1">
      <fieldsUsage count="1">
        <fieldUsage x="3"/>
      </fieldsUsage>
    </cacheHierarchy>
    <cacheHierarchy uniqueName="[Measures].[KPIsYOYQuantity_Sold]" caption="KPIsYOYQuantity_Sold" measure="1" displayFolder="" measureGroup="Super_Store_data" count="0" oneField="1">
      <fieldsUsage count="1">
        <fieldUsage x="4"/>
      </fieldsUsage>
    </cacheHierarchy>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63.952206712966" backgroundQuery="1" createdVersion="8" refreshedVersion="8" minRefreshableVersion="3" recordCount="0" supportSubquery="1" supportAdvancedDrill="1" xr:uid="{6B9E0062-3503-4D24-8DD5-E0E911FF1266}">
  <cacheSource type="external" connectionId="6"/>
  <cacheFields count="4">
    <cacheField name="[Calendar].[Month Name].[Month Name]" caption="Month Name" numFmtId="0" hierarchy="3" level="1">
      <sharedItems count="12">
        <s v="Apr"/>
        <s v="Aug"/>
        <s v="Dec"/>
        <s v="Feb"/>
        <s v="Jan"/>
        <s v="Jul"/>
        <s v="Jun"/>
        <s v="Mar"/>
        <s v="May"/>
        <s v="Nov"/>
        <s v="Oct"/>
        <s v="Sep"/>
      </sharedItems>
    </cacheField>
    <cacheField name="[Super_Store_data].[State].[State]" caption="State" numFmtId="0" hierarchy="26" level="1">
      <sharedItems count="46">
        <s v="Ohio"/>
        <s v="Virginia"/>
        <s v="Pennsylvania"/>
        <s v="California"/>
        <s v="Massachusetts"/>
        <s v="Florida"/>
        <s v="Colorado"/>
        <s v="Georgia"/>
        <s v="Alabama"/>
        <s v="New York"/>
        <s v="Washington"/>
        <s v="Maryland"/>
        <s v="Maine"/>
        <s v="New Jersey"/>
        <s v="Indiana"/>
        <s v="Idaho"/>
        <s v="Louisiana"/>
        <s v="Kentucky"/>
        <s v="Tennessee"/>
        <s v="Oklahoma"/>
        <s v="Arizona"/>
        <s v="Vermont"/>
        <s v="Michigan"/>
        <s v="North Carolina"/>
        <s v="Wyoming"/>
        <s v="Missouri"/>
        <s v="South Carolina"/>
        <s v="New Hampshire"/>
        <s v="Arkansas"/>
        <s v="Rhode Island"/>
        <s v="Connecticut"/>
        <s v="Iowa"/>
        <s v="Delaware"/>
        <s v="Utah"/>
        <s v="Wisconsin"/>
        <s v="New Mexico"/>
        <s v="Nebraska"/>
        <s v="Oregon"/>
        <s v="Mississippi"/>
        <s v="Montana"/>
        <s v="Nevada"/>
        <s v="Minnesota"/>
        <s v="Kansas"/>
        <s v="South Dakota"/>
        <s v="Texas"/>
        <s v="District of Columbia"/>
      </sharedItems>
    </cacheField>
    <cacheField name="[Calendar].[Date (Year)].[Date (Year)]" caption="Date (Year)" numFmtId="0" hierarchy="8" level="1">
      <sharedItems count="3">
        <s v="2015"/>
        <s v="2016"/>
        <s v="2017"/>
      </sharedItems>
      <extLst>
        <ext xmlns:x15="http://schemas.microsoft.com/office/spreadsheetml/2010/11/main" uri="{4F2E5C28-24EA-4eb8-9CBF-B6C8F9C3D259}">
          <x15:cachedUniqueNames>
            <x15:cachedUniqueName index="0" name="[Calendar].[Date (Year)].&amp;[2015]"/>
            <x15:cachedUniqueName index="1" name="[Calendar].[Date (Year)].&amp;[2016]"/>
            <x15:cachedUniqueName index="2" name="[Calendar].[Date (Year)].&amp;[2017]"/>
          </x15:cachedUniqueNames>
        </ext>
      </extLst>
    </cacheField>
    <cacheField name="[Measures].[KPIs]" caption="KPIs" numFmtId="0" hierarchy="67" level="32767"/>
  </cacheFields>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2" memberValueDatatype="130" unbalanced="0">
      <fieldsUsage count="2">
        <fieldUsage x="-1"/>
        <fieldUsage x="0"/>
      </fieldsUsage>
    </cacheHierarchy>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2" memberValueDatatype="130" unbalanced="0">
      <fieldsUsage count="2">
        <fieldUsage x="-1"/>
        <fieldUsage x="1"/>
      </fieldsUsage>
    </cacheHierarchy>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oneField="1">
      <fieldsUsage count="1">
        <fieldUsage x="3"/>
      </fieldsUsage>
    </cacheHierarchy>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55.498930555557" backgroundQuery="1" createdVersion="3" refreshedVersion="8" minRefreshableVersion="3" recordCount="0" supportSubquery="1" supportAdvancedDrill="1" xr:uid="{7F816617-9571-4748-9C97-E2F352088443}">
  <cacheSource type="external" connectionId="6">
    <extLst>
      <ext xmlns:x14="http://schemas.microsoft.com/office/spreadsheetml/2009/9/main" uri="{F057638F-6D5F-4e77-A914-E7F072B9BCA8}">
        <x14:sourceConnection name="ThisWorkbookDataModel"/>
      </ext>
    </extLst>
  </cacheSource>
  <cacheFields count="0"/>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2"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2"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extLst>
    <ext xmlns:x14="http://schemas.microsoft.com/office/spreadsheetml/2009/9/main" uri="{725AE2AE-9491-48be-B2B4-4EB974FC3084}">
      <x14:pivotCacheDefinition slicerData="1" pivotCacheId="759866759"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55.499040509261" backgroundQuery="1" createdVersion="3" refreshedVersion="8" minRefreshableVersion="3" recordCount="0" supportSubquery="1" supportAdvancedDrill="1" xr:uid="{7F9304F0-86A1-45DD-854C-AC958CFE6849}">
  <cacheSource type="external" connectionId="6">
    <extLst>
      <ext xmlns:x14="http://schemas.microsoft.com/office/spreadsheetml/2009/9/main" uri="{F057638F-6D5F-4e77-A914-E7F072B9BCA8}">
        <x14:sourceConnection name="ThisWorkbookDataModel"/>
      </ext>
    </extLst>
  </cacheSource>
  <cacheFields count="0"/>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2"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extLst>
    <ext xmlns:x14="http://schemas.microsoft.com/office/spreadsheetml/2009/9/main" uri="{725AE2AE-9491-48be-B2B4-4EB974FC3084}">
      <x14:pivotCacheDefinition slicerData="1" pivotCacheId="1832137989"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55.498926388886" backgroundQuery="1" createdVersion="5" refreshedVersion="8" minRefreshableVersion="3" recordCount="0" supportSubquery="1" supportAdvancedDrill="1" xr:uid="{9CE8F7C4-F582-4CB9-A864-44857F6D8FE7}">
  <cacheSource type="external" connectionId="6">
    <extLst>
      <ext xmlns:x14="http://schemas.microsoft.com/office/spreadsheetml/2009/9/main" uri="{F057638F-6D5F-4e77-A914-E7F072B9BCA8}">
        <x14:sourceConnection name="ThisWorkbookDataModel"/>
      </ext>
    </extLst>
  </cacheSource>
  <cacheFields count="0"/>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pivotCacheId="166780820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yan Animal Republic" refreshedDate="45855.49892824074" backgroundQuery="1" createdVersion="5" refreshedVersion="8" minRefreshableVersion="3" recordCount="0" supportSubquery="1" supportAdvancedDrill="1" xr:uid="{71D0815A-85C2-4A45-B510-3300E7C419ED}">
  <cacheSource type="external" connectionId="6">
    <extLst>
      <ext xmlns:x14="http://schemas.microsoft.com/office/spreadsheetml/2009/9/main" uri="{F057638F-6D5F-4e77-A914-E7F072B9BCA8}">
        <x14:sourceConnection name="ThisWorkbookDataModel"/>
      </ext>
    </extLst>
  </cacheSource>
  <cacheFields count="0"/>
  <cacheHierarchies count="98">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20" unbalanced="0"/>
    <cacheHierarchy uniqueName="[Calendar].[Month Name]" caption="Month Name" attribute="1" defaultMemberUniqueName="[Calendar].[Month Name].[All]" allUniqueName="[Calendar].[Month Name].[All]" dimensionUniqueName="[Calendar]" displayFolder="" count="0" memberValueDatatype="130" unbalanced="0"/>
    <cacheHierarchy uniqueName="[Calendar].[Quarter]" caption="Quarter" attribute="1" defaultMemberUniqueName="[Calendar].[Quarter].[All]" allUniqueName="[Calendar].[Quarter].[All]" dimensionUniqueName="[Calendar]" displayFolder="" count="0" memberValueDatatype="130" unbalanced="0"/>
    <cacheHierarchy uniqueName="[Calendar].[YM]" caption="YM" attribute="1" defaultMemberUniqueName="[Calendar].[YM].[All]" allUniqueName="[Calendar].[YM].[All]" dimensionUniqueName="[Calendar]" displayFolder="" count="0" memberValueDatatype="130" unbalanced="0"/>
    <cacheHierarchy uniqueName="[Calendar].[YM index]" caption="YM index" attribute="1" defaultMemberUniqueName="[Calendar].[YM index].[All]" allUniqueName="[Calendar].[YM index].[All]" dimensionUniqueName="[Calendar]" displayFolder="" count="0" memberValueDatatype="130" unbalanced="0"/>
    <cacheHierarchy uniqueName="[Calendar].[Rolling 13]" caption="Rolling 13" attribute="1" defaultMemberUniqueName="[Calendar].[Rolling 13].[All]" allUniqueName="[Calendar].[Rolling 13].[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hCalendar].[Date]" caption="Date" attribute="1" time="1" defaultMemberUniqueName="[hCalendar].[Date].[All]" allUniqueName="[hCalendar].[Date].[All]" dimensionUniqueName="[hCalendar]" displayFolder="" count="0" memberValueDatatype="7"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s].[Order ID]" caption="Order ID" attribute="1" defaultMemberUniqueName="[Returns].[Order ID].[All]" allUniqueName="[Returns].[Order ID].[All]" dimensionUniqueName="[Returns]" displayFolder="" count="0" memberValueDatatype="130" unbalanced="0"/>
    <cacheHierarchy uniqueName="[Returns].[Returned]" caption="Returned" attribute="1" defaultMemberUniqueName="[Returns].[Returned].[All]" allUniqueName="[Returns].[Returned].[All]" dimensionUniqueName="[Returns]" displayFolder="" count="0" memberValueDatatype="130" unbalanced="0"/>
    <cacheHierarchy uniqueName="[Super_Store_data].[Row ID]" caption="Row ID" attribute="1" defaultMemberUniqueName="[Super_Store_data].[Row ID].[All]" allUniqueName="[Super_Store_data].[Row ID].[All]" dimensionUniqueName="[Super_Store_data]" displayFolder="" count="0" memberValueDatatype="130" unbalanced="0"/>
    <cacheHierarchy uniqueName="[Super_Store_data].[Order ID]" caption="Order ID" attribute="1" defaultMemberUniqueName="[Super_Store_data].[Order ID].[All]" allUniqueName="[Super_Store_data].[Order ID].[All]" dimensionUniqueName="[Super_Store_data]" displayFolder="" count="0" memberValueDatatype="130" unbalanced="0"/>
    <cacheHierarchy uniqueName="[Super_Store_data].[Order Date]" caption="Order Date" attribute="1" time="1" defaultMemberUniqueName="[Super_Store_data].[Order Date].[All]" allUniqueName="[Super_Store_data].[Order Date].[All]" dimensionUniqueName="[Super_Store_data]" displayFolder="" count="0" memberValueDatatype="7" unbalanced="0"/>
    <cacheHierarchy uniqueName="[Super_Store_data].[Ship Date]" caption="Ship Date" attribute="1" time="1" defaultMemberUniqueName="[Super_Store_data].[Ship Date].[All]" allUniqueName="[Super_Store_data].[Ship Date].[All]" dimensionUniqueName="[Super_Store_data]" displayFolder="" count="0" memberValueDatatype="7" unbalanced="0"/>
    <cacheHierarchy uniqueName="[Super_Store_data].[Ship Mode]" caption="Ship Mode" attribute="1" defaultMemberUniqueName="[Super_Store_data].[Ship Mode].[All]" allUniqueName="[Super_Store_data].[Ship Mode].[All]" dimensionUniqueName="[Super_Store_data]" displayFolder="" count="0" memberValueDatatype="130" unbalanced="0"/>
    <cacheHierarchy uniqueName="[Super_Store_data].[Customer ID]" caption="Customer ID" attribute="1" defaultMemberUniqueName="[Super_Store_data].[Customer ID].[All]" allUniqueName="[Super_Store_data].[Customer ID].[All]" dimensionUniqueName="[Super_Store_data]" displayFolder="" count="0" memberValueDatatype="130" unbalanced="0"/>
    <cacheHierarchy uniqueName="[Super_Store_data].[Customer Name]" caption="Customer Name" attribute="1" defaultMemberUniqueName="[Super_Store_data].[Customer Name].[All]" allUniqueName="[Super_Store_data].[Customer Name].[All]" dimensionUniqueName="[Super_Store_data]" displayFolder="" count="0" memberValueDatatype="130" unbalanced="0"/>
    <cacheHierarchy uniqueName="[Super_Store_data].[Segment]" caption="Segment" attribute="1" defaultMemberUniqueName="[Super_Store_data].[Segment].[All]" allUniqueName="[Super_Store_data].[Segment].[All]" dimensionUniqueName="[Super_Store_data]" displayFolder="" count="0" memberValueDatatype="130" unbalanced="0"/>
    <cacheHierarchy uniqueName="[Super_Store_data].[Country]" caption="Country" attribute="1" defaultMemberUniqueName="[Super_Store_data].[Country].[All]" allUniqueName="[Super_Store_data].[Country].[All]" dimensionUniqueName="[Super_Store_data]" displayFolder="" count="0" memberValueDatatype="130" unbalanced="0"/>
    <cacheHierarchy uniqueName="[Super_Store_data].[City]" caption="City" attribute="1" defaultMemberUniqueName="[Super_Store_data].[City].[All]" allUniqueName="[Super_Store_data].[City].[All]" dimensionUniqueName="[Super_Store_data]" displayFolder="" count="0" memberValueDatatype="130" unbalanced="0"/>
    <cacheHierarchy uniqueName="[Super_Store_data].[State]" caption="State" attribute="1" defaultMemberUniqueName="[Super_Store_data].[State].[All]" allUniqueName="[Super_Store_data].[State].[All]" dimensionUniqueName="[Super_Store_data]" displayFolder="" count="0" memberValueDatatype="130" unbalanced="0"/>
    <cacheHierarchy uniqueName="[Super_Store_data].[Postal Code]" caption="Postal Code" attribute="1" defaultMemberUniqueName="[Super_Store_data].[Postal Code].[All]" allUniqueName="[Super_Store_data].[Postal Code].[All]" dimensionUniqueName="[Super_Store_data]" displayFolder="" count="0" memberValueDatatype="130" unbalanced="0"/>
    <cacheHierarchy uniqueName="[Super_Store_data].[Region]" caption="Region" attribute="1" defaultMemberUniqueName="[Super_Store_data].[Region].[All]" allUniqueName="[Super_Store_data].[Region].[All]" dimensionUniqueName="[Super_Store_data]" displayFolder="" count="0" memberValueDatatype="130" unbalanced="0"/>
    <cacheHierarchy uniqueName="[Super_Store_data].[Product ID]" caption="Product ID" attribute="1" defaultMemberUniqueName="[Super_Store_data].[Product ID].[All]" allUniqueName="[Super_Store_data].[Product ID].[All]" dimensionUniqueName="[Super_Store_data]" displayFolder="" count="0" memberValueDatatype="130" unbalanced="0"/>
    <cacheHierarchy uniqueName="[Super_Store_data].[Category]" caption="Category" attribute="1" defaultMemberUniqueName="[Super_Store_data].[Category].[All]" allUniqueName="[Super_Store_data].[Category].[All]" dimensionUniqueName="[Super_Store_data]" displayFolder="" count="0" memberValueDatatype="130" unbalanced="0"/>
    <cacheHierarchy uniqueName="[Super_Store_data].[Sub-Category]" caption="Sub-Category" attribute="1" defaultMemberUniqueName="[Super_Store_data].[Sub-Category].[All]" allUniqueName="[Super_Store_data].[Sub-Category].[All]" dimensionUniqueName="[Super_Store_data]" displayFolder="" count="0" memberValueDatatype="130" unbalanced="0"/>
    <cacheHierarchy uniqueName="[Super_Store_data].[Product Name]" caption="Product Name" attribute="1" defaultMemberUniqueName="[Super_Store_data].[Product Name].[All]" allUniqueName="[Super_Store_data].[Product Name].[All]" dimensionUniqueName="[Super_Store_data]" displayFolder="" count="0" memberValueDatatype="130" unbalanced="0"/>
    <cacheHierarchy uniqueName="[Super_Store_data].[Sales]" caption="Sales" attribute="1" defaultMemberUniqueName="[Super_Store_data].[Sales].[All]" allUniqueName="[Super_Store_data].[Sales].[All]" dimensionUniqueName="[Super_Store_data]" displayFolder="" count="0" memberValueDatatype="5" unbalanced="0"/>
    <cacheHierarchy uniqueName="[Super_Store_data].[Quantity]" caption="Quantity" attribute="1" defaultMemberUniqueName="[Super_Store_data].[Quantity].[All]" allUniqueName="[Super_Store_data].[Quantity].[All]" dimensionUniqueName="[Super_Store_data]" displayFolder="" count="0" memberValueDatatype="20" unbalanced="0"/>
    <cacheHierarchy uniqueName="[Super_Store_data].[Discount]" caption="Discount" attribute="1" defaultMemberUniqueName="[Super_Store_data].[Discount].[All]" allUniqueName="[Super_Store_data].[Discount].[All]" dimensionUniqueName="[Super_Store_data]" displayFolder="" count="0" memberValueDatatype="5" unbalanced="0"/>
    <cacheHierarchy uniqueName="[Super_Store_data].[Profit]" caption="Profit" attribute="1" defaultMemberUniqueName="[Super_Store_data].[Profit].[All]" allUniqueName="[Super_Store_data].[Profit].[All]" dimensionUniqueName="[Super_Store_data]" displayFolder="" count="0" memberValueDatatype="5" unbalanced="0"/>
    <cacheHierarchy uniqueName="[Super_Store_data].[ShippingDuration]" caption="ShippingDuration" attribute="1" defaultMemberUniqueName="[Super_Store_data].[ShippingDuration].[All]" allUniqueName="[Super_Store_data].[ShippingDuration].[All]" dimensionUniqueName="[Super_Store_data]" displayFolder="" count="0" memberValueDatatype="130" unbalanced="0"/>
    <cacheHierarchy uniqueName="[Super_Store_data].[Order Date (Year)]" caption="Order Date (Year)" attribute="1" defaultMemberUniqueName="[Super_Store_data].[Order Date (Year)].[All]" allUniqueName="[Super_Store_data].[Order Date (Year)].[All]" dimensionUniqueName="[Super_Store_data]" displayFolder="" count="0" memberValueDatatype="130" unbalanced="0"/>
    <cacheHierarchy uniqueName="[Super_Store_data].[Order Date (Quarter)]" caption="Order Date (Quarter)" attribute="1" defaultMemberUniqueName="[Super_Store_data].[Order Date (Quarter)].[All]" allUniqueName="[Super_Store_data].[Order Date (Quarter)].[All]" dimensionUniqueName="[Super_Store_data]" displayFolder="" count="0" memberValueDatatype="130" unbalanced="0"/>
    <cacheHierarchy uniqueName="[Super_Store_data].[Order Date (Month)]" caption="Order Date (Month)" attribute="1" defaultMemberUniqueName="[Super_Store_data].[Order Date (Month)].[All]" allUniqueName="[Super_Store_data].[Order Date (Month)].[All]" dimensionUniqueName="[Super_Store_data]" displayFolder="" count="0" memberValueDatatype="130" unbalanced="0"/>
    <cacheHierarchy uniqueName="[View].[View]" caption="View" attribute="1" defaultMemberUniqueName="[View].[View].[All]" allUniqueName="[View].[View].[All]" dimensionUniqueName="[View]"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Super_Store_data].[Order Date (Month Index)]" caption="Order Date (Month Index)" attribute="1" defaultMemberUniqueName="[Super_Store_data].[Order Date (Month Index)].[All]" allUniqueName="[Super_Store_data].[Order Date (Month Index)].[All]" dimensionUniqueName="[Super_Store_data]" displayFolder="" count="0" memberValueDatatype="20" unbalanced="0" hidden="1"/>
    <cacheHierarchy uniqueName="[Measures].[Sum of Sales]" caption="Sum of Sales" measure="1" displayFolder="" measureGroup="Super_Store_data" count="0">
      <extLst>
        <ext xmlns:x15="http://schemas.microsoft.com/office/spreadsheetml/2010/11/main" uri="{B97F6D7D-B522-45F9-BDA1-12C45D357490}">
          <x15:cacheHierarchy aggregatedColumn="33"/>
        </ext>
      </extLst>
    </cacheHierarchy>
    <cacheHierarchy uniqueName="[Measures].[Sum of Quantity]" caption="Sum of Quantity" measure="1" displayFolder="" measureGroup="Super_Store_data" count="0">
      <extLst>
        <ext xmlns:x15="http://schemas.microsoft.com/office/spreadsheetml/2010/11/main" uri="{B97F6D7D-B522-45F9-BDA1-12C45D357490}">
          <x15:cacheHierarchy aggregatedColumn="34"/>
        </ext>
      </extLst>
    </cacheHierarchy>
    <cacheHierarchy uniqueName="[Measures].[Count of Order ID]" caption="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Month]" caption="Sum of Month" measure="1" displayFolder="" measureGroup="Calendar" count="0">
      <extLst>
        <ext xmlns:x15="http://schemas.microsoft.com/office/spreadsheetml/2010/11/main" uri="{B97F6D7D-B522-45F9-BDA1-12C45D357490}">
          <x15:cacheHierarchy aggregatedColumn="2"/>
        </ext>
      </extLst>
    </cacheHierarchy>
    <cacheHierarchy uniqueName="[Measures].[Count of ShippingDuration]" caption="Count of ShippingDuration" measure="1" displayFolder="" measureGroup="Super_Store_data" count="0">
      <extLst>
        <ext xmlns:x15="http://schemas.microsoft.com/office/spreadsheetml/2010/11/main" uri="{B97F6D7D-B522-45F9-BDA1-12C45D357490}">
          <x15:cacheHierarchy aggregatedColumn="37"/>
        </ext>
      </extLst>
    </cacheHierarchy>
    <cacheHierarchy uniqueName="[Measures].[Distinct Count of Order ID]" caption="Distinct Count of Order ID" measure="1" displayFolder="" measureGroup="Super_Store_data" count="0">
      <extLst>
        <ext xmlns:x15="http://schemas.microsoft.com/office/spreadsheetml/2010/11/main" uri="{B97F6D7D-B522-45F9-BDA1-12C45D357490}">
          <x15:cacheHierarchy aggregatedColumn="17"/>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Total Cost]" caption="Total Cost" measure="1" displayFolder="" measureGroup="Super_Store_data" count="0"/>
    <cacheHierarchy uniqueName="[Measures].[Total Profit]" caption="Total Profit" measure="1" displayFolder="" measureGroup="Super_Store_data" count="0"/>
    <cacheHierarchy uniqueName="[Measures].[Total Loss]" caption="Total Loss" measure="1" displayFolder="" measureGroup="Super_Store_data" count="0"/>
    <cacheHierarchy uniqueName="[Measures].[Total Quantity Sold]" caption="Total Quantity Sold" measure="1" displayFolder="" measureGroup="Super_Store_data" count="0"/>
    <cacheHierarchy uniqueName="[Measures].[Total Discount]" caption="Total Discount" measure="1" displayFolder="" measureGroup="Super_Store_data" count="0"/>
    <cacheHierarchy uniqueName="[Measures].[YOY Total Revenue]" caption="YOY Total Revenue" measure="1" displayFolder="" measureGroup="Super_Store_data" count="0"/>
    <cacheHierarchy uniqueName="[Measures].[YOY Total Profit]" caption="YOY Total Profit" measure="1" displayFolder="" measureGroup="Super_Store_data" count="0"/>
    <cacheHierarchy uniqueName="[Measures].[YOY Total Order]" caption="YOY Total Order" measure="1" displayFolder="" measureGroup="Super_Store_data" count="0"/>
    <cacheHierarchy uniqueName="[Measures].[YOY Total Discount]" caption="YOY Total Discount" measure="1" displayFolder="" measureGroup="Super_Store_data" count="0"/>
    <cacheHierarchy uniqueName="[Measures].[YOY Revenue Growth %]" caption="YOY Revenue Growth %" measure="1" displayFolder="" measureGroup="Super_Store_data" count="0"/>
    <cacheHierarchy uniqueName="[Measures].[YOY Profit Growth %]" caption="YOY Profit Growth %" measure="1" displayFolder="" measureGroup="Super_Store_data" count="0"/>
    <cacheHierarchy uniqueName="[Measures].[YOY Quantity Sold Growth %]" caption="YOY Quantity Sold Growth %" measure="1" displayFolder="" measureGroup="Super_Store_data" count="0"/>
    <cacheHierarchy uniqueName="[Measures].[YOY Discount Growth %]" caption="YOY Discount Growth %" measure="1" displayFolder="" measureGroup="Super_Store_data" count="0"/>
    <cacheHierarchy uniqueName="[Measures].[YOY Total Cost]" caption="YOY Total Cost" measure="1" displayFolder="" measureGroup="Super_Store_data" count="0"/>
    <cacheHierarchy uniqueName="[Measures].[YOY Cost Growth %]" caption="YOY Cost Growth %" measure="1" displayFolder="" measureGroup="Super_Store_data" count="0"/>
    <cacheHierarchy uniqueName="[Measures].[Slicer]" caption="Slicer" measure="1" displayFolder="" measureGroup="Calendar" count="0"/>
    <cacheHierarchy uniqueName="[Measures].[KPIs]" caption="KPIs" measure="1" displayFolder="" measureGroup="Super_Store_data" count="0"/>
    <cacheHierarchy uniqueName="[Measures].[AdjustedKPIs]" caption="AdjustedKPIs" measure="1" displayFolder="" measureGroup="Super_Store_data" count="0"/>
    <cacheHierarchy uniqueName="[Measures].[KPIsYOYProfit]" caption="KPIsYOYProfit" measure="1" displayFolder="" measureGroup="Super_Store_data" count="0"/>
    <cacheHierarchy uniqueName="[Measures].[KPIsYOYCost]" caption="KPIsYOYCost" measure="1" displayFolder="" measureGroup="Super_Store_data" count="0"/>
    <cacheHierarchy uniqueName="[Measures].[KPIsYOYOrder]" caption="KPIsYOYOrder" measure="1" displayFolder="" measureGroup="Super_Store_data" count="0"/>
    <cacheHierarchy uniqueName="[Measures].[KPIsYOYDiscount]" caption="KPIsYOYDiscount" measure="1" displayFolder="" measureGroup="Super_Store_data" count="0"/>
    <cacheHierarchy uniqueName="[Measures].[KPIsProfit]" caption="KPIsProfit" measure="1" displayFolder="" measureGroup="Super_Store_data" count="0"/>
    <cacheHierarchy uniqueName="[Measures].[KPIsCost]" caption="KPIsCost" measure="1" displayFolder="" measureGroup="Super_Store_data" count="0"/>
    <cacheHierarchy uniqueName="[Measures].[KPIsOrder]" caption="KPIsOrder" measure="1" displayFolder="" measureGroup="Super_Store_data" count="0"/>
    <cacheHierarchy uniqueName="[Measures].[KPIsDiscount]" caption="KPIsDiscount" measure="1" displayFolder="" measureGroup="Super_Store_data" count="0"/>
    <cacheHierarchy uniqueName="[Measures].[Performance_Slicer]" caption="Performance_Slicer" measure="1" displayFolder="" measureGroup="View" count="0"/>
    <cacheHierarchy uniqueName="[Measures].[Performance_KPIs1]" caption="Performance_KPIs1" measure="1" displayFolder="" measureGroup="Super_Store_data" count="0"/>
    <cacheHierarchy uniqueName="[Measures].[#Number of Orders]" caption="#Number of Orders" measure="1" displayFolder="" measureGroup="Super_Store_data" count="0"/>
    <cacheHierarchy uniqueName="[Measures].[Profitability Rate]" caption="Profitability Rate" measure="1" displayFolder="" measureGroup="Super_Store_data" count="0"/>
    <cacheHierarchy uniqueName="[Measures].[#Number of Customers]" caption="#Number of Customers" measure="1" displayFolder="" measureGroup="Super_Store_data" count="0"/>
    <cacheHierarchy uniqueName="[Measures].[YOY Total Quantity Sold]" caption="YOY Total Quantity Sold" measure="1" displayFolder="" measureGroup="Super_Store_data" count="0"/>
    <cacheHierarchy uniqueName="[Measures].[YOY Order Growth %]" caption="YOY Order Growth %" measure="1" displayFolder="" measureGroup="Super_Store_data" count="0"/>
    <cacheHierarchy uniqueName="[Measures].[KPIsQuantity_sold]" caption="KPIsQuantity_sold" measure="1" displayFolder="" measureGroup="Super_Store_data" count="0"/>
    <cacheHierarchy uniqueName="[Measures].[KPIsYOYQuantity_Sold]" caption="KPIsYOYQuantity_Sold" measure="1" displayFolder="" measureGroup="Super_Store_data" count="0"/>
    <cacheHierarchy uniqueName="[Measures].[#Number of Cities]" caption="#Number of Cities" measure="1" displayFolder="" measureGroup="Super_Store_data" count="0"/>
    <cacheHierarchy uniqueName="[Measures].[Total Revenue]" caption="Total Revenue" measure="1" displayFolder="" measureGroup="Super_Store_data" count="0"/>
    <cacheHierarchy uniqueName="[Measures].[Returned_count]" caption="Returned_count" measure="1" displayFolder="" measureGroup="Super_Store_data" count="0"/>
    <cacheHierarchy uniqueName="[Measures].[__XL_Count Super_Store_data]" caption="__XL_Count Super_Store_data" measure="1" displayFolder="" measureGroup="Super_Store_data" count="0" hidden="1"/>
    <cacheHierarchy uniqueName="[Measures].[__XL_Count People]" caption="__XL_Count People" measure="1" displayFolder="" measureGroup="People" count="0" hidden="1"/>
    <cacheHierarchy uniqueName="[Measures].[__XL_Count Returns]" caption="__XL_Count Returns" measure="1" displayFolder="" measureGroup="Returns" count="0" hidden="1"/>
    <cacheHierarchy uniqueName="[Measures].[__XL_Count Calendar]" caption="__XL_Count Calendar" measure="1" displayFolder="" measureGroup="Calendar" count="0" hidden="1"/>
    <cacheHierarchy uniqueName="[Measures].[__XL_Count hCalendar]" caption="__XL_Count hCalendar" measure="1" displayFolder="" measureGroup="hCalendar" count="0" hidden="1"/>
    <cacheHierarchy uniqueName="[Measures].[__XL_Count View]" caption="__XL_Count View" measure="1" displayFolder="" measureGroup="View" count="0" hidden="1"/>
    <cacheHierarchy uniqueName="[Measures].[__No measures defined]" caption="__No measures defined" measure="1" displayFolder="" count="0" hidden="1"/>
    <cacheHierarchy uniqueName="[Measures].[_Total Revenue Goal]" caption="_Total Revenue Goal" measure="1" displayFolder="" measureGroup="Super_Store_data" count="0" hidden="1"/>
    <cacheHierarchy uniqueName="[Measures].[_Total Revenue Status]" caption="_Total Revenue Status" measure="1" displayFolder="" measureGroup="Super_Store_data" count="0" hidden="1"/>
  </cacheHierarchies>
  <kpis count="1">
    <kpi uniqueName="Total Revenue" caption="Total Revenue" displayFolder="" measureGroup="Super_Store_data" parent="" value="[Measures].[Total Revenue]" goal="[Measures].[_Total Revenue Goal]" status="[Measures].[_Total Revenue Status]" trend="" weight=""/>
  </kpis>
  <dimensions count="7">
    <dimension name="Calendar" uniqueName="[Calendar]" caption="Calendar"/>
    <dimension name="hCalendar" uniqueName="[hCalendar]" caption="hCalendar"/>
    <dimension measure="1" name="Measures" uniqueName="[Measures]" caption="Measures"/>
    <dimension name="People" uniqueName="[People]" caption="People"/>
    <dimension name="Returns" uniqueName="[Returns]" caption="Returns"/>
    <dimension name="Super_Store_data" uniqueName="[Super_Store_data]" caption="Super_Store_data"/>
    <dimension name="View" uniqueName="[View]" caption="View"/>
  </dimensions>
  <measureGroups count="6">
    <measureGroup name="Calendar" caption="Calendar"/>
    <measureGroup name="hCalendar" caption="hCalendar"/>
    <measureGroup name="People" caption="People"/>
    <measureGroup name="Returns" caption="Returns"/>
    <measureGroup name="Super_Store_data" caption="Super_Store_data"/>
    <measureGroup name="View" caption="View"/>
  </measureGroups>
  <maps count="9">
    <map measureGroup="0" dimension="0"/>
    <map measureGroup="1" dimension="1"/>
    <map measureGroup="2" dimension="3"/>
    <map measureGroup="3" dimension="4"/>
    <map measureGroup="4" dimension="0"/>
    <map measureGroup="4" dimension="3"/>
    <map measureGroup="4" dimension="4"/>
    <map measureGroup="4" dimension="5"/>
    <map measureGroup="5" dimension="6"/>
  </maps>
  <extLst>
    <ext xmlns:x14="http://schemas.microsoft.com/office/spreadsheetml/2009/9/main" uri="{725AE2AE-9491-48be-B2B4-4EB974FC3084}">
      <x14:pivotCacheDefinition pivotCacheId="145744389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C22410-A960-446C-9627-2F8351CC4906}" name="PivotChartTable2" cacheId="2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A1:C18" firstHeaderRow="1" firstDataRow="1" firstDataCol="0"/>
  <pivotHierarchies count="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572834-2302-49DA-83E7-07A82B2BBEA4}" name="PivotChartTable4" cacheId="2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A1:C18" firstHeaderRow="1" firstDataRow="1" firstDataCol="0"/>
  <pivotHierarchies count="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36CB48-0EE0-420C-ADBE-53D45AF8A17B}" name="Sales Monthly Trend" cacheId="340" applyNumberFormats="0" applyBorderFormats="0" applyFontFormats="0" applyPatternFormats="0" applyAlignmentFormats="0" applyWidthHeightFormats="1" dataCaption="Values" tag="76c31852-f24c-4eb4-8aef-8e8faf6dad63" updatedVersion="8" minRefreshableVersion="3" useAutoFormatting="1" subtotalHiddenItems="1" rowGrandTotals="0" colGrandTotals="0" itemPrintTitles="1" createdVersion="8" indent="0" outline="1" outlineData="1" multipleFieldFilters="0" chartFormat="39">
  <location ref="C9:D21" firstHeaderRow="1"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name="Total Revenue" fld="1" subtotal="count" baseField="0" baseItem="0"/>
  </dataFields>
  <chartFormats count="5">
    <chartFormat chart="23" format="2" series="1">
      <pivotArea type="data" outline="0" fieldPosition="0">
        <references count="1">
          <reference field="4294967294" count="1" selected="0">
            <x v="0"/>
          </reference>
        </references>
      </pivotArea>
    </chartFormat>
    <chartFormat chart="24" format="3"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0"/>
          </reference>
        </references>
      </pivotArea>
    </chartFormat>
    <chartFormat chart="25" format="4">
      <pivotArea type="data" outline="0" fieldPosition="0">
        <references count="2">
          <reference field="4294967294" count="1" selected="0">
            <x v="0"/>
          </reference>
          <reference field="0" count="1" selected="0">
            <x v="11"/>
          </reference>
        </references>
      </pivotArea>
    </chartFormat>
    <chartFormat chart="36" format="7" series="1">
      <pivotArea type="data" outline="0" fieldPosition="0">
        <references count="1">
          <reference field="4294967294" count="1" selected="0">
            <x v="0"/>
          </reference>
        </references>
      </pivotArea>
    </chartFormat>
  </chartFormat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415AC8E-87F7-4BB7-AA59-47F6F1880B87}" name="Total Discount &amp; %YOY" cacheId="367" applyNumberFormats="0" applyBorderFormats="0" applyFontFormats="0" applyPatternFormats="0" applyAlignmentFormats="0" applyWidthHeightFormats="1" dataCaption="Values" tag="5b378e1e-1d99-42e0-ac3d-b4ee093880fa" updatedVersion="8" minRefreshableVersion="3" useAutoFormatting="1" subtotalHiddenItems="1" itemPrintTitles="1" createdVersion="8" indent="0" outline="1" outlineData="1" multipleFieldFilters="0" chartFormat="69">
  <location ref="I47:K52" firstHeaderRow="0" firstDataRow="1" firstDataCol="1"/>
  <pivotFields count="6">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efaultSubtotal="0" defaultAttributeDrillState="1">
      <items count="46">
        <item x="3"/>
        <item x="22"/>
        <item x="9"/>
        <item x="1"/>
        <item x="10"/>
        <item x="0"/>
        <item x="2"/>
        <item x="4"/>
        <item x="5"/>
        <item x="6"/>
        <item x="7"/>
        <item x="8"/>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Fields count="1">
    <field x="-2"/>
  </colFields>
  <colItems count="2">
    <i>
      <x/>
    </i>
    <i i="1">
      <x v="1"/>
    </i>
  </colItems>
  <dataFields count="2">
    <dataField fld="3" subtotal="count" baseField="0" baseItem="0" numFmtId="9"/>
    <dataField fld="4" subtotal="count" baseField="0" baseItem="0"/>
  </dataFields>
  <formats count="1">
    <format dxfId="38">
      <pivotArea outline="0" collapsedLevelsAreSubtotals="1" fieldPosition="0">
        <references count="1">
          <reference field="4294967294" count="1" selected="0">
            <x v="0"/>
          </reference>
        </references>
      </pivotArea>
    </format>
  </format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val="5" filterVal="5"/>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x14:conditionalFormats count="1">
          <x14:conditionalFormat priority="4" id="{58539993-4A8F-4B22-9726-817635FA9614}">
            <x14:pivotAreas count="1">
              <pivotArea type="data" outline="0" collapsedLevelsAreSubtotals="1" fieldPosition="0">
                <references count="1">
                  <reference field="4294967294" count="1" selected="0">
                    <x v="1"/>
                  </reference>
                </references>
              </pivotArea>
            </x14:pivotAreas>
          </x14:conditionalFormat>
        </x14:conditionalFormats>
      </x14:pivotTableDefinition>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92CC50B-926B-49E2-A900-982FFCDAC949}" name="Total Quantity &amp; %YOY" cacheId="433" applyNumberFormats="0" applyBorderFormats="0" applyFontFormats="0" applyPatternFormats="0" applyAlignmentFormats="0" applyWidthHeightFormats="1" dataCaption="Values" tag="d3c2447d-b117-4ee1-bedb-54bb2b1e6b0f" updatedVersion="8" minRefreshableVersion="3" useAutoFormatting="1" subtotalHiddenItems="1" itemPrintTitles="1" createdVersion="8" indent="0" outline="1" outlineData="1" multipleFieldFilters="0" chartFormat="69">
  <location ref="I37:K42" firstHeaderRow="0"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efaultSubtotal="0" defaultAttributeDrillState="1">
      <items count="46">
        <item x="3"/>
        <item x="22"/>
        <item x="9"/>
        <item x="1"/>
        <item x="10"/>
        <item x="0"/>
        <item x="2"/>
        <item x="4"/>
        <item x="5"/>
        <item x="6"/>
        <item x="7"/>
        <item x="8"/>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s>
  <rowFields count="1">
    <field x="2"/>
  </rowFields>
  <rowItems count="5">
    <i>
      <x/>
    </i>
    <i>
      <x v="1"/>
    </i>
    <i>
      <x v="2"/>
    </i>
    <i>
      <x v="3"/>
    </i>
    <i t="grand">
      <x/>
    </i>
  </rowItems>
  <colFields count="1">
    <field x="-2"/>
  </colFields>
  <colItems count="2">
    <i>
      <x/>
    </i>
    <i i="1">
      <x v="1"/>
    </i>
  </colItems>
  <dataFields count="2">
    <dataField fld="3" subtotal="count" baseField="0" baseItem="0"/>
    <dataField fld="4" subtotal="count" baseField="0" baseItem="0"/>
  </dataField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val="5" filterVal="5"/>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41018E-411B-4EDC-8976-40485976F2BB}" name="Lowest Profit by States" cacheId="415" applyNumberFormats="0" applyBorderFormats="0" applyFontFormats="0" applyPatternFormats="0" applyAlignmentFormats="0" applyWidthHeightFormats="1" dataCaption="Values" tag="6658445b-9f32-47f2-bd4f-b83edb9e77be" updatedVersion="8" minRefreshableVersion="3" useAutoFormatting="1" subtotalHiddenItems="1" rowGrandTotals="0" colGrandTotals="0" itemPrintTitles="1" createdVersion="8" indent="0" outline="1" outlineData="1" multipleFieldFilters="0" chartFormat="49">
  <location ref="L2:M7"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measureFilter="1"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5">
    <i>
      <x v="2"/>
    </i>
    <i>
      <x v="1"/>
    </i>
    <i>
      <x/>
    </i>
    <i>
      <x v="4"/>
    </i>
    <i>
      <x v="3"/>
    </i>
  </rowItems>
  <colItems count="1">
    <i/>
  </colItems>
  <dataFields count="1">
    <dataField fld="2" subtotal="count" baseField="0" baseItem="0"/>
  </dataFields>
  <chartFormats count="23">
    <chartFormat chart="43" format="2" series="1">
      <pivotArea type="data" outline="0" fieldPosition="0">
        <references count="1">
          <reference field="4294967294" count="1" selected="0">
            <x v="0"/>
          </reference>
        </references>
      </pivotArea>
    </chartFormat>
    <chartFormat chart="43" format="3">
      <pivotArea type="data" outline="0" fieldPosition="0">
        <references count="2">
          <reference field="4294967294" count="1" selected="0">
            <x v="0"/>
          </reference>
          <reference field="1" count="1" selected="0">
            <x v="3"/>
          </reference>
        </references>
      </pivotArea>
    </chartFormat>
    <chartFormat chart="43" format="4">
      <pivotArea type="data" outline="0" fieldPosition="0">
        <references count="2">
          <reference field="4294967294" count="1" selected="0">
            <x v="0"/>
          </reference>
          <reference field="1" count="1" selected="0">
            <x v="4"/>
          </reference>
        </references>
      </pivotArea>
    </chartFormat>
    <chartFormat chart="43" format="5">
      <pivotArea type="data" outline="0" fieldPosition="0">
        <references count="2">
          <reference field="4294967294" count="1" selected="0">
            <x v="0"/>
          </reference>
          <reference field="1" count="1" selected="0">
            <x v="0"/>
          </reference>
        </references>
      </pivotArea>
    </chartFormat>
    <chartFormat chart="43" format="6">
      <pivotArea type="data" outline="0" fieldPosition="0">
        <references count="2">
          <reference field="4294967294" count="1" selected="0">
            <x v="0"/>
          </reference>
          <reference field="1" count="1" selected="0">
            <x v="1"/>
          </reference>
        </references>
      </pivotArea>
    </chartFormat>
    <chartFormat chart="43" format="7">
      <pivotArea type="data" outline="0" fieldPosition="0">
        <references count="2">
          <reference field="4294967294" count="1" selected="0">
            <x v="0"/>
          </reference>
          <reference field="1" count="1" selected="0">
            <x v="2"/>
          </reference>
        </references>
      </pivotArea>
    </chartFormat>
    <chartFormat chart="48" format="14" series="1">
      <pivotArea type="data" outline="0" fieldPosition="0">
        <references count="1">
          <reference field="4294967294" count="1" selected="0">
            <x v="0"/>
          </reference>
        </references>
      </pivotArea>
    </chartFormat>
    <chartFormat chart="48" format="15">
      <pivotArea type="data" outline="0" fieldPosition="0">
        <references count="2">
          <reference field="4294967294" count="1" selected="0">
            <x v="0"/>
          </reference>
          <reference field="1" count="1" selected="0">
            <x v="2"/>
          </reference>
        </references>
      </pivotArea>
    </chartFormat>
    <chartFormat chart="48" format="16">
      <pivotArea type="data" outline="0" fieldPosition="0">
        <references count="2">
          <reference field="4294967294" count="1" selected="0">
            <x v="0"/>
          </reference>
          <reference field="1" count="1" selected="0">
            <x v="1"/>
          </reference>
        </references>
      </pivotArea>
    </chartFormat>
    <chartFormat chart="48" format="17">
      <pivotArea type="data" outline="0" fieldPosition="0">
        <references count="2">
          <reference field="4294967294" count="1" selected="0">
            <x v="0"/>
          </reference>
          <reference field="1" count="1" selected="0">
            <x v="0"/>
          </reference>
        </references>
      </pivotArea>
    </chartFormat>
    <chartFormat chart="48" format="18">
      <pivotArea type="data" outline="0" fieldPosition="0">
        <references count="2">
          <reference field="4294967294" count="1" selected="0">
            <x v="0"/>
          </reference>
          <reference field="1" count="1" selected="0">
            <x v="4"/>
          </reference>
        </references>
      </pivotArea>
    </chartFormat>
    <chartFormat chart="48" format="19">
      <pivotArea type="data" outline="0" fieldPosition="0">
        <references count="2">
          <reference field="4294967294" count="1" selected="0">
            <x v="0"/>
          </reference>
          <reference field="1" count="1" selected="0">
            <x v="3"/>
          </reference>
        </references>
      </pivotArea>
    </chartFormat>
    <chartFormat chart="48" format="20">
      <pivotArea type="data" outline="0" fieldPosition="0">
        <references count="2">
          <reference field="4294967294" count="1" selected="0">
            <x v="0"/>
          </reference>
          <reference field="1" count="1" selected="0">
            <x v="8"/>
          </reference>
        </references>
      </pivotArea>
    </chartFormat>
    <chartFormat chart="48" format="21">
      <pivotArea type="data" outline="0" fieldPosition="0">
        <references count="2">
          <reference field="4294967294" count="1" selected="0">
            <x v="0"/>
          </reference>
          <reference field="1" count="1" selected="0">
            <x v="5"/>
          </reference>
        </references>
      </pivotArea>
    </chartFormat>
    <chartFormat chart="48" format="22">
      <pivotArea type="data" outline="0" fieldPosition="0">
        <references count="2">
          <reference field="4294967294" count="1" selected="0">
            <x v="0"/>
          </reference>
          <reference field="1" count="1" selected="0">
            <x v="6"/>
          </reference>
        </references>
      </pivotArea>
    </chartFormat>
    <chartFormat chart="48" format="23">
      <pivotArea type="data" outline="0" fieldPosition="0">
        <references count="2">
          <reference field="4294967294" count="1" selected="0">
            <x v="0"/>
          </reference>
          <reference field="1" count="1" selected="0">
            <x v="7"/>
          </reference>
        </references>
      </pivotArea>
    </chartFormat>
    <chartFormat chart="43" format="8">
      <pivotArea type="data" outline="0" fieldPosition="0">
        <references count="2">
          <reference field="4294967294" count="1" selected="0">
            <x v="0"/>
          </reference>
          <reference field="1" count="1" selected="0">
            <x v="8"/>
          </reference>
        </references>
      </pivotArea>
    </chartFormat>
    <chartFormat chart="43" format="9">
      <pivotArea type="data" outline="0" fieldPosition="0">
        <references count="2">
          <reference field="4294967294" count="1" selected="0">
            <x v="0"/>
          </reference>
          <reference field="1" count="1" selected="0">
            <x v="5"/>
          </reference>
        </references>
      </pivotArea>
    </chartFormat>
    <chartFormat chart="43" format="10">
      <pivotArea type="data" outline="0" fieldPosition="0">
        <references count="2">
          <reference field="4294967294" count="1" selected="0">
            <x v="0"/>
          </reference>
          <reference field="1" count="1" selected="0">
            <x v="6"/>
          </reference>
        </references>
      </pivotArea>
    </chartFormat>
    <chartFormat chart="43" format="11">
      <pivotArea type="data" outline="0" fieldPosition="0">
        <references count="2">
          <reference field="4294967294" count="1" selected="0">
            <x v="0"/>
          </reference>
          <reference field="1" count="1" selected="0">
            <x v="7"/>
          </reference>
        </references>
      </pivotArea>
    </chartFormat>
    <chartFormat chart="48" format="24">
      <pivotArea type="data" outline="0" fieldPosition="0">
        <references count="2">
          <reference field="4294967294" count="1" selected="0">
            <x v="0"/>
          </reference>
          <reference field="1" count="1" selected="0">
            <x v="9"/>
          </reference>
        </references>
      </pivotArea>
    </chartFormat>
    <chartFormat chart="48" format="25">
      <pivotArea type="data" outline="0" fieldPosition="0">
        <references count="2">
          <reference field="4294967294" count="1" selected="0">
            <x v="0"/>
          </reference>
          <reference field="1" count="1" selected="0">
            <x v="11"/>
          </reference>
        </references>
      </pivotArea>
    </chartFormat>
    <chartFormat chart="48" format="26">
      <pivotArea type="data" outline="0" fieldPosition="0">
        <references count="2">
          <reference field="4294967294" count="1" selected="0">
            <x v="0"/>
          </reference>
          <reference field="1" count="1" selected="0">
            <x v="10"/>
          </reference>
        </references>
      </pivotArea>
    </chartFormat>
  </chartFormat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top="0" val="5" filterVal="5"/>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D242CB5-C5C4-44C1-8B7D-60DAF1D3CE57}" name="Shipping Mode" cacheId="427" applyNumberFormats="0" applyBorderFormats="0" applyFontFormats="0" applyPatternFormats="0" applyAlignmentFormats="0" applyWidthHeightFormats="1" dataCaption="Values" tag="e03d5f7c-40cc-49a1-b586-5aeb978ef57a" updatedVersion="8" minRefreshableVersion="3" useAutoFormatting="1" subtotalHiddenItems="1" rowGrandTotals="0" colGrandTotals="0" itemPrintTitles="1" createdVersion="8" indent="0" outline="1" outlineData="1" multipleFieldFilters="0" chartFormat="22">
  <location ref="C2:D6"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1"/>
  </rowFields>
  <rowItems count="4">
    <i>
      <x/>
    </i>
    <i>
      <x v="1"/>
    </i>
    <i>
      <x v="2"/>
    </i>
    <i>
      <x v="3"/>
    </i>
  </rowItems>
  <colItems count="1">
    <i/>
  </colItems>
  <dataFields count="1">
    <dataField name="Count of Order ID" fld="2" subtotal="count" showDataAs="percentOfCol" baseField="1" baseItem="0" numFmtId="9"/>
  </dataFields>
  <chartFormats count="10">
    <chartFormat chart="8" format="6" series="1">
      <pivotArea type="data" outline="0" fieldPosition="0">
        <references count="1">
          <reference field="4294967294" count="1" selected="0">
            <x v="0"/>
          </reference>
        </references>
      </pivotArea>
    </chartFormat>
    <chartFormat chart="8" format="9">
      <pivotArea type="data" outline="0" fieldPosition="0">
        <references count="2">
          <reference field="4294967294" count="1" selected="0">
            <x v="0"/>
          </reference>
          <reference field="1" count="1" selected="0">
            <x v="2"/>
          </reference>
        </references>
      </pivotArea>
    </chartFormat>
    <chartFormat chart="8" format="10">
      <pivotArea type="data" outline="0" fieldPosition="0">
        <references count="2">
          <reference field="4294967294" count="1" selected="0">
            <x v="0"/>
          </reference>
          <reference field="1" count="1" selected="0">
            <x v="3"/>
          </reference>
        </references>
      </pivotArea>
    </chartFormat>
    <chartFormat chart="8" format="11">
      <pivotArea type="data" outline="0" fieldPosition="0">
        <references count="2">
          <reference field="4294967294" count="1" selected="0">
            <x v="0"/>
          </reference>
          <reference field="1" count="1" selected="0">
            <x v="0"/>
          </reference>
        </references>
      </pivotArea>
    </chartFormat>
    <chartFormat chart="8" format="12">
      <pivotArea type="data" outline="0" fieldPosition="0">
        <references count="2">
          <reference field="4294967294" count="1" selected="0">
            <x v="0"/>
          </reference>
          <reference field="1" count="1" selected="0">
            <x v="1"/>
          </reference>
        </references>
      </pivotArea>
    </chartFormat>
    <chartFormat chart="21" format="18" series="1">
      <pivotArea type="data" outline="0" fieldPosition="0">
        <references count="1">
          <reference field="4294967294" count="1" selected="0">
            <x v="0"/>
          </reference>
        </references>
      </pivotArea>
    </chartFormat>
    <chartFormat chart="21" format="19">
      <pivotArea type="data" outline="0" fieldPosition="0">
        <references count="2">
          <reference field="4294967294" count="1" selected="0">
            <x v="0"/>
          </reference>
          <reference field="1" count="1" selected="0">
            <x v="0"/>
          </reference>
        </references>
      </pivotArea>
    </chartFormat>
    <chartFormat chart="21" format="20">
      <pivotArea type="data" outline="0" fieldPosition="0">
        <references count="2">
          <reference field="4294967294" count="1" selected="0">
            <x v="0"/>
          </reference>
          <reference field="1" count="1" selected="0">
            <x v="1"/>
          </reference>
        </references>
      </pivotArea>
    </chartFormat>
    <chartFormat chart="21" format="21">
      <pivotArea type="data" outline="0" fieldPosition="0">
        <references count="2">
          <reference field="4294967294" count="1" selected="0">
            <x v="0"/>
          </reference>
          <reference field="1" count="1" selected="0">
            <x v="2"/>
          </reference>
        </references>
      </pivotArea>
    </chartFormat>
    <chartFormat chart="21" format="22">
      <pivotArea type="data" outline="0" fieldPosition="0">
        <references count="2">
          <reference field="4294967294" count="1" selected="0">
            <x v="0"/>
          </reference>
          <reference field="1" count="1" selected="0">
            <x v="3"/>
          </reference>
        </references>
      </pivotArea>
    </chartFormat>
  </chartFormats>
  <pivotHierarchies count="9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4978239-E335-41FD-9791-92AC6758D0D1}" name="Total Cost &amp; %YOY" cacheId="370" applyNumberFormats="0" applyBorderFormats="0" applyFontFormats="0" applyPatternFormats="0" applyAlignmentFormats="0" applyWidthHeightFormats="1" dataCaption="Values" tag="a4dbe89a-2ab7-4c12-b615-b7c0e62ba754" updatedVersion="8" minRefreshableVersion="3" useAutoFormatting="1" subtotalHiddenItems="1" itemPrintTitles="1" createdVersion="8" indent="0" outline="1" outlineData="1" multipleFieldFilters="0" chartFormat="69">
  <location ref="I58:K63" firstHeaderRow="0" firstDataRow="1" firstDataCol="1"/>
  <pivotFields count="6">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efaultSubtotal="0" defaultAttributeDrillState="1">
      <items count="46">
        <item x="3"/>
        <item x="22"/>
        <item x="9"/>
        <item x="1"/>
        <item x="10"/>
        <item x="0"/>
        <item x="2"/>
        <item x="4"/>
        <item x="5"/>
        <item x="6"/>
        <item x="7"/>
        <item x="8"/>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Fields count="1">
    <field x="-2"/>
  </colFields>
  <colItems count="2">
    <i>
      <x/>
    </i>
    <i i="1">
      <x v="1"/>
    </i>
  </colItems>
  <dataFields count="2">
    <dataField fld="3" subtotal="count" baseField="0" baseItem="0"/>
    <dataField fld="4" subtotal="count" baseField="0" baseItem="0"/>
  </dataField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val="5" filterVal="5"/>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x14:conditionalFormats count="2">
          <x14:conditionalFormat priority="2" id="{929380FB-90B2-44D1-8D83-8B13D7342E40}">
            <x14:pivotAreas count="1">
              <pivotArea type="data" collapsedLevelsAreSubtotals="1" fieldPosition="0">
                <references count="2">
                  <reference field="4294967294" count="1" selected="0">
                    <x v="1"/>
                  </reference>
                  <reference field="2" count="3">
                    <x v="1"/>
                    <x v="2"/>
                    <x v="3"/>
                  </reference>
                </references>
              </pivotArea>
            </x14:pivotAreas>
          </x14:conditionalFormat>
          <x14:conditionalFormat priority="3" id="{A9E99E4C-1876-4AA4-A905-5EFF590342D5}">
            <x14:pivotAreas count="1">
              <pivotArea type="data" outline="0" collapsedLevelsAreSubtotals="1" fieldPosition="0">
                <references count="1">
                  <reference field="4294967294" count="1" selected="0">
                    <x v="1"/>
                  </reference>
                </references>
              </pivotArea>
            </x14:pivotAreas>
          </x14:conditionalFormat>
        </x14:conditionalFormats>
      </x14:pivotTableDefinition>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AE79412-0A54-44FA-8A86-7DD4D1643C9A}" name="Highest Profit by States" cacheId="412" applyNumberFormats="0" applyBorderFormats="0" applyFontFormats="0" applyPatternFormats="0" applyAlignmentFormats="0" applyWidthHeightFormats="1" dataCaption="Values" tag="bed54b9d-5ece-4043-9e25-bd37fbeea37c" updatedVersion="8" minRefreshableVersion="3" useAutoFormatting="1" subtotalHiddenItems="1" rowGrandTotals="0" colGrandTotals="0" itemPrintTitles="1" createdVersion="8" indent="0" outline="1" outlineData="1" multipleFieldFilters="0" chartFormat="58">
  <location ref="I2:J7"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5">
    <i>
      <x v="1"/>
    </i>
    <i>
      <x v="3"/>
    </i>
    <i>
      <x v="4"/>
    </i>
    <i>
      <x v="2"/>
    </i>
    <i>
      <x/>
    </i>
  </rowItems>
  <colItems count="1">
    <i/>
  </colItems>
  <dataFields count="1">
    <dataField fld="2" subtotal="count" baseField="0" baseItem="0"/>
  </dataFields>
  <chartFormats count="12">
    <chartFormat chart="46" format="12" series="1">
      <pivotArea type="data" outline="0" fieldPosition="0">
        <references count="1">
          <reference field="4294967294" count="1" selected="0">
            <x v="0"/>
          </reference>
        </references>
      </pivotArea>
    </chartFormat>
    <chartFormat chart="46" format="13">
      <pivotArea type="data" outline="0" fieldPosition="0">
        <references count="2">
          <reference field="4294967294" count="1" selected="0">
            <x v="0"/>
          </reference>
          <reference field="1" count="1" selected="0">
            <x v="1"/>
          </reference>
        </references>
      </pivotArea>
    </chartFormat>
    <chartFormat chart="46" format="14">
      <pivotArea type="data" outline="0" fieldPosition="0">
        <references count="2">
          <reference field="4294967294" count="1" selected="0">
            <x v="0"/>
          </reference>
          <reference field="1" count="1" selected="0">
            <x v="3"/>
          </reference>
        </references>
      </pivotArea>
    </chartFormat>
    <chartFormat chart="46" format="15">
      <pivotArea type="data" outline="0" fieldPosition="0">
        <references count="2">
          <reference field="4294967294" count="1" selected="0">
            <x v="0"/>
          </reference>
          <reference field="1" count="1" selected="0">
            <x v="4"/>
          </reference>
        </references>
      </pivotArea>
    </chartFormat>
    <chartFormat chart="46" format="16">
      <pivotArea type="data" outline="0" fieldPosition="0">
        <references count="2">
          <reference field="4294967294" count="1" selected="0">
            <x v="0"/>
          </reference>
          <reference field="1" count="1" selected="0">
            <x v="2"/>
          </reference>
        </references>
      </pivotArea>
    </chartFormat>
    <chartFormat chart="46" format="17">
      <pivotArea type="data" outline="0" fieldPosition="0">
        <references count="2">
          <reference field="4294967294" count="1" selected="0">
            <x v="0"/>
          </reference>
          <reference field="1" count="1" selected="0">
            <x v="0"/>
          </reference>
        </references>
      </pivotArea>
    </chartFormat>
    <chartFormat chart="57" format="24" series="1">
      <pivotArea type="data" outline="0" fieldPosition="0">
        <references count="1">
          <reference field="4294967294" count="1" selected="0">
            <x v="0"/>
          </reference>
        </references>
      </pivotArea>
    </chartFormat>
    <chartFormat chart="57" format="25">
      <pivotArea type="data" outline="0" fieldPosition="0">
        <references count="2">
          <reference field="4294967294" count="1" selected="0">
            <x v="0"/>
          </reference>
          <reference field="1" count="1" selected="0">
            <x v="1"/>
          </reference>
        </references>
      </pivotArea>
    </chartFormat>
    <chartFormat chart="57" format="26">
      <pivotArea type="data" outline="0" fieldPosition="0">
        <references count="2">
          <reference field="4294967294" count="1" selected="0">
            <x v="0"/>
          </reference>
          <reference field="1" count="1" selected="0">
            <x v="3"/>
          </reference>
        </references>
      </pivotArea>
    </chartFormat>
    <chartFormat chart="57" format="27">
      <pivotArea type="data" outline="0" fieldPosition="0">
        <references count="2">
          <reference field="4294967294" count="1" selected="0">
            <x v="0"/>
          </reference>
          <reference field="1" count="1" selected="0">
            <x v="4"/>
          </reference>
        </references>
      </pivotArea>
    </chartFormat>
    <chartFormat chart="57" format="28">
      <pivotArea type="data" outline="0" fieldPosition="0">
        <references count="2">
          <reference field="4294967294" count="1" selected="0">
            <x v="0"/>
          </reference>
          <reference field="1" count="1" selected="0">
            <x v="2"/>
          </reference>
        </references>
      </pivotArea>
    </chartFormat>
    <chartFormat chart="57" format="29">
      <pivotArea type="data" outline="0" fieldPosition="0">
        <references count="2">
          <reference field="4294967294" count="1" selected="0">
            <x v="0"/>
          </reference>
          <reference field="1" count="1" selected="0">
            <x v="0"/>
          </reference>
        </references>
      </pivotArea>
    </chartFormat>
  </chartFormat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val="5" filterVal="5"/>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6F76F63-D65B-4A12-A5CC-B23550DA4676}" name="PivotTable2" cacheId="421" applyNumberFormats="0" applyBorderFormats="0" applyFontFormats="0" applyPatternFormats="0" applyAlignmentFormats="0" applyWidthHeightFormats="1" dataCaption="Values" tag="11addda5-7c83-4537-9dca-d1c7e99c17ca" updatedVersion="8" minRefreshableVersion="3" useAutoFormatting="1" subtotalHiddenItems="1" colGrandTotals="0" itemPrintTitles="1" createdVersion="8" indent="0" outline="1" outlineData="1" multipleFieldFilters="0" chartFormat="47">
  <location ref="L11:M16"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Total Revenue" fld="3" subtotal="count" baseField="0" baseItem="0"/>
  </dataField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top="0" val="5" filterVal="5"/>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E5A5C3E-0A92-4895-A246-CDE0E5EE51B2}" name="Shipping Duration" cacheId="409" applyNumberFormats="0" applyBorderFormats="0" applyFontFormats="0" applyPatternFormats="0" applyAlignmentFormats="0" applyWidthHeightFormats="1" dataCaption="Values" tag="896c8fa7-47b9-457e-8076-51b425ec8f0c" updatedVersion="8" minRefreshableVersion="3" useAutoFormatting="1" subtotalHiddenItems="1" rowGrandTotals="0" colGrandTotals="0" itemPrintTitles="1" createdVersion="8" indent="0" outline="1" outlineData="1" multipleFieldFilters="0" chartFormat="43">
  <location ref="F2:G10"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8">
    <i>
      <x/>
    </i>
    <i>
      <x v="1"/>
    </i>
    <i>
      <x v="2"/>
    </i>
    <i>
      <x v="3"/>
    </i>
    <i>
      <x v="4"/>
    </i>
    <i>
      <x v="5"/>
    </i>
    <i>
      <x v="6"/>
    </i>
    <i>
      <x v="7"/>
    </i>
  </rowItems>
  <colItems count="1">
    <i/>
  </colItems>
  <dataFields count="1">
    <dataField name="Count of Order ID" fld="2" subtotal="count" showDataAs="percentOfTotal" baseField="1" baseItem="0" numFmtId="9"/>
  </dataFields>
  <chartFormats count="2">
    <chartFormat chart="34" format="3" series="1">
      <pivotArea type="data" outline="0" fieldPosition="0">
        <references count="1">
          <reference field="4294967294" count="1" selected="0">
            <x v="0"/>
          </reference>
        </references>
      </pivotArea>
    </chartFormat>
    <chartFormat chart="42" format="5" series="1">
      <pivotArea type="data" outline="0" fieldPosition="0">
        <references count="1">
          <reference field="4294967294" count="1" selected="0">
            <x v="0"/>
          </reference>
        </references>
      </pivotArea>
    </chartFormat>
  </chartFormat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Count of Order ID"/>
    <pivotHierarchy dragToData="1"/>
    <pivotHierarchy dragToData="1"/>
    <pivotHierarchy dragToData="1" caption="Distinct Count of Order ID"/>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F983145-510A-41D7-BB33-B5C7928D8AFD}" name="Revenue by Segment" cacheId="424" applyNumberFormats="0" applyBorderFormats="0" applyFontFormats="0" applyPatternFormats="0" applyAlignmentFormats="0" applyWidthHeightFormats="1" dataCaption="Values" tag="ee298f0d-be7d-4174-9319-3028415aa167" updatedVersion="8" minRefreshableVersion="3" useAutoFormatting="1" subtotalHiddenItems="1" rowGrandTotals="0" colGrandTotals="0" itemPrintTitles="1" createdVersion="8" indent="0" outline="1" outlineData="1" multipleFieldFilters="0" chartFormat="73">
  <location ref="I12:J15"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efaultSubtotal="0" defaultAttributeDrillState="1">
      <items count="46">
        <item x="3"/>
        <item x="22"/>
        <item x="9"/>
        <item x="1"/>
        <item x="10"/>
        <item x="0"/>
        <item x="2"/>
        <item x="4"/>
        <item x="5"/>
        <item x="6"/>
        <item x="7"/>
        <item x="8"/>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s>
    </pivotField>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3">
    <i>
      <x/>
    </i>
    <i>
      <x v="1"/>
    </i>
    <i>
      <x v="2"/>
    </i>
  </rowItems>
  <colItems count="1">
    <i/>
  </colItems>
  <dataFields count="1">
    <dataField name="Total Revenue" fld="2" subtotal="count" showDataAs="percentOfTotal" baseField="3" baseItem="0" numFmtId="10"/>
  </dataFields>
  <chartFormats count="24">
    <chartFormat chart="57" format="1" series="1">
      <pivotArea type="data" outline="0" fieldPosition="0">
        <references count="1">
          <reference field="4294967294" count="1" selected="0">
            <x v="0"/>
          </reference>
        </references>
      </pivotArea>
    </chartFormat>
    <chartFormat chart="57" format="2">
      <pivotArea type="data" outline="0" fieldPosition="0">
        <references count="2">
          <reference field="4294967294" count="1" selected="0">
            <x v="0"/>
          </reference>
          <reference field="3" count="1" selected="0">
            <x v="0"/>
          </reference>
        </references>
      </pivotArea>
    </chartFormat>
    <chartFormat chart="57" format="3">
      <pivotArea type="data" outline="0" fieldPosition="0">
        <references count="2">
          <reference field="4294967294" count="1" selected="0">
            <x v="0"/>
          </reference>
          <reference field="3" count="1" selected="0">
            <x v="1"/>
          </reference>
        </references>
      </pivotArea>
    </chartFormat>
    <chartFormat chart="57" format="4">
      <pivotArea type="data" outline="0" fieldPosition="0">
        <references count="2">
          <reference field="4294967294" count="1" selected="0">
            <x v="0"/>
          </reference>
          <reference field="3" count="1" selected="0">
            <x v="2"/>
          </reference>
        </references>
      </pivotArea>
    </chartFormat>
    <chartFormat chart="58" format="5" series="1">
      <pivotArea type="data" outline="0" fieldPosition="0">
        <references count="1">
          <reference field="4294967294" count="1" selected="0">
            <x v="0"/>
          </reference>
        </references>
      </pivotArea>
    </chartFormat>
    <chartFormat chart="58" format="6">
      <pivotArea type="data" outline="0" fieldPosition="0">
        <references count="2">
          <reference field="4294967294" count="1" selected="0">
            <x v="0"/>
          </reference>
          <reference field="3" count="1" selected="0">
            <x v="0"/>
          </reference>
        </references>
      </pivotArea>
    </chartFormat>
    <chartFormat chart="58" format="7">
      <pivotArea type="data" outline="0" fieldPosition="0">
        <references count="2">
          <reference field="4294967294" count="1" selected="0">
            <x v="0"/>
          </reference>
          <reference field="3" count="1" selected="0">
            <x v="1"/>
          </reference>
        </references>
      </pivotArea>
    </chartFormat>
    <chartFormat chart="58" format="8">
      <pivotArea type="data" outline="0" fieldPosition="0">
        <references count="2">
          <reference field="4294967294" count="1" selected="0">
            <x v="0"/>
          </reference>
          <reference field="3" count="1" selected="0">
            <x v="2"/>
          </reference>
        </references>
      </pivotArea>
    </chartFormat>
    <chartFormat chart="59" format="5" series="1">
      <pivotArea type="data" outline="0" fieldPosition="0">
        <references count="1">
          <reference field="4294967294" count="1" selected="0">
            <x v="0"/>
          </reference>
        </references>
      </pivotArea>
    </chartFormat>
    <chartFormat chart="59" format="6">
      <pivotArea type="data" outline="0" fieldPosition="0">
        <references count="2">
          <reference field="4294967294" count="1" selected="0">
            <x v="0"/>
          </reference>
          <reference field="3" count="1" selected="0">
            <x v="0"/>
          </reference>
        </references>
      </pivotArea>
    </chartFormat>
    <chartFormat chart="59" format="7">
      <pivotArea type="data" outline="0" fieldPosition="0">
        <references count="2">
          <reference field="4294967294" count="1" selected="0">
            <x v="0"/>
          </reference>
          <reference field="3" count="1" selected="0">
            <x v="1"/>
          </reference>
        </references>
      </pivotArea>
    </chartFormat>
    <chartFormat chart="59" format="8">
      <pivotArea type="data" outline="0" fieldPosition="0">
        <references count="2">
          <reference field="4294967294" count="1" selected="0">
            <x v="0"/>
          </reference>
          <reference field="3" count="1" selected="0">
            <x v="2"/>
          </reference>
        </references>
      </pivotArea>
    </chartFormat>
    <chartFormat chart="66" format="13" series="1">
      <pivotArea type="data" outline="0" fieldPosition="0">
        <references count="1">
          <reference field="4294967294" count="1" selected="0">
            <x v="0"/>
          </reference>
        </references>
      </pivotArea>
    </chartFormat>
    <chartFormat chart="66" format="14">
      <pivotArea type="data" outline="0" fieldPosition="0">
        <references count="2">
          <reference field="4294967294" count="1" selected="0">
            <x v="0"/>
          </reference>
          <reference field="3" count="1" selected="0">
            <x v="0"/>
          </reference>
        </references>
      </pivotArea>
    </chartFormat>
    <chartFormat chart="66" format="15">
      <pivotArea type="data" outline="0" fieldPosition="0">
        <references count="2">
          <reference field="4294967294" count="1" selected="0">
            <x v="0"/>
          </reference>
          <reference field="3" count="1" selected="0">
            <x v="1"/>
          </reference>
        </references>
      </pivotArea>
    </chartFormat>
    <chartFormat chart="66" format="16">
      <pivotArea type="data" outline="0" fieldPosition="0">
        <references count="2">
          <reference field="4294967294" count="1" selected="0">
            <x v="0"/>
          </reference>
          <reference field="3" count="1" selected="0">
            <x v="2"/>
          </reference>
        </references>
      </pivotArea>
    </chartFormat>
    <chartFormat chart="67" format="17" series="1">
      <pivotArea type="data" outline="0" fieldPosition="0">
        <references count="1">
          <reference field="4294967294" count="1" selected="0">
            <x v="0"/>
          </reference>
        </references>
      </pivotArea>
    </chartFormat>
    <chartFormat chart="67" format="18">
      <pivotArea type="data" outline="0" fieldPosition="0">
        <references count="2">
          <reference field="4294967294" count="1" selected="0">
            <x v="0"/>
          </reference>
          <reference field="3" count="1" selected="0">
            <x v="0"/>
          </reference>
        </references>
      </pivotArea>
    </chartFormat>
    <chartFormat chart="67" format="19">
      <pivotArea type="data" outline="0" fieldPosition="0">
        <references count="2">
          <reference field="4294967294" count="1" selected="0">
            <x v="0"/>
          </reference>
          <reference field="3" count="1" selected="0">
            <x v="1"/>
          </reference>
        </references>
      </pivotArea>
    </chartFormat>
    <chartFormat chart="67" format="20">
      <pivotArea type="data" outline="0" fieldPosition="0">
        <references count="2">
          <reference field="4294967294" count="1" selected="0">
            <x v="0"/>
          </reference>
          <reference field="3" count="1" selected="0">
            <x v="2"/>
          </reference>
        </references>
      </pivotArea>
    </chartFormat>
    <chartFormat chart="72" format="13" series="1">
      <pivotArea type="data" outline="0" fieldPosition="0">
        <references count="1">
          <reference field="4294967294" count="1" selected="0">
            <x v="0"/>
          </reference>
        </references>
      </pivotArea>
    </chartFormat>
    <chartFormat chart="72" format="14">
      <pivotArea type="data" outline="0" fieldPosition="0">
        <references count="2">
          <reference field="4294967294" count="1" selected="0">
            <x v="0"/>
          </reference>
          <reference field="3" count="1" selected="0">
            <x v="0"/>
          </reference>
        </references>
      </pivotArea>
    </chartFormat>
    <chartFormat chart="72" format="15">
      <pivotArea type="data" outline="0" fieldPosition="0">
        <references count="2">
          <reference field="4294967294" count="1" selected="0">
            <x v="0"/>
          </reference>
          <reference field="3" count="1" selected="0">
            <x v="1"/>
          </reference>
        </references>
      </pivotArea>
    </chartFormat>
    <chartFormat chart="72" format="16">
      <pivotArea type="data" outline="0" fieldPosition="0">
        <references count="2">
          <reference field="4294967294" count="1" selected="0">
            <x v="0"/>
          </reference>
          <reference field="3" count="1" selected="0">
            <x v="2"/>
          </reference>
        </references>
      </pivotArea>
    </chartFormat>
  </chartFormat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val="5" filterVal="5"/>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2961F24-E21B-42ED-AA3F-B47BD91FE5AA}" name="Total Revenue" cacheId="436" applyNumberFormats="0" applyBorderFormats="0" applyFontFormats="0" applyPatternFormats="0" applyAlignmentFormats="0" applyWidthHeightFormats="1" dataCaption="Values" tag="351fd89d-ad60-47de-b87e-264e7acf0eec" updatedVersion="8" minRefreshableVersion="3" useAutoFormatting="1" subtotalHiddenItems="1" itemPrintTitles="1" createdVersion="8" indent="0" outline="1" outlineData="1" multipleFieldFilters="0" chartFormat="69">
  <location ref="I18:J21" firstHeaderRow="1" firstDataRow="1" firstDataCol="1"/>
  <pivotFields count="4">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efaultSubtotal="0" defaultAttributeDrillState="1">
      <items count="46">
        <item x="3"/>
        <item x="22"/>
        <item x="9"/>
        <item x="1"/>
        <item x="10"/>
        <item x="0"/>
        <item x="2"/>
        <item x="4"/>
        <item x="5"/>
        <item x="6"/>
        <item x="7"/>
        <item x="8"/>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s>
    </pivotField>
    <pivotField axis="axisRow" allDrilled="1" subtotalTop="0" showAll="0" dataSourceSort="1" defaultSubtotal="0" defaultAttributeDrillState="1">
      <items count="3">
        <item x="0"/>
        <item x="1"/>
        <item x="2"/>
      </items>
    </pivotField>
    <pivotField dataField="1" subtotalTop="0" showAll="0" defaultSubtotal="0"/>
  </pivotFields>
  <rowFields count="1">
    <field x="2"/>
  </rowFields>
  <rowItems count="3">
    <i>
      <x/>
    </i>
    <i>
      <x v="1"/>
    </i>
    <i>
      <x v="2"/>
    </i>
  </rowItems>
  <colItems count="1">
    <i/>
  </colItems>
  <dataFields count="1">
    <dataField fld="3" subtotal="count" baseField="2" baseItem="0" numFmtId="167"/>
  </dataField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val="5" filterVal="5"/>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x14:conditionalFormats count="1">
          <x14:conditionalFormat priority="8" id="{76921ADE-31E7-4794-A429-D44F21A9EA02}">
            <x14:pivotAreas count="1">
              <pivotArea type="data" collapsedLevelsAreSubtotals="1" fieldPosition="0">
                <references count="2">
                  <reference field="4294967294" count="1" selected="0">
                    <x v="0"/>
                  </reference>
                  <reference field="2" count="3">
                    <x v="0"/>
                    <x v="1"/>
                    <x v="2"/>
                  </reference>
                </references>
              </pivotArea>
            </x14:pivotAreas>
          </x14:conditionalFormat>
        </x14:conditionalFormats>
      </x14:pivotTableDefinition>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7903328-59B9-42E3-8B1F-C77DFBD63B15}" name="Total Profit &amp; %YOY" cacheId="430" applyNumberFormats="0" applyBorderFormats="0" applyFontFormats="0" applyPatternFormats="0" applyAlignmentFormats="0" applyWidthHeightFormats="1" dataCaption="Values" tag="be75b51d-0c15-4ca6-8dac-2573b30fca99" updatedVersion="8" minRefreshableVersion="3" useAutoFormatting="1" subtotalHiddenItems="1" itemPrintTitles="1" createdVersion="8" indent="0" outline="1" outlineData="1" multipleFieldFilters="0" chartFormat="69">
  <location ref="I27:K32" firstHeaderRow="0"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measureFilter="1" defaultSubtotal="0" defaultAttributeDrillState="1">
      <items count="46">
        <item x="3"/>
        <item x="22"/>
        <item x="9"/>
        <item x="1"/>
        <item x="10"/>
        <item x="0"/>
        <item x="2"/>
        <item x="4"/>
        <item x="5"/>
        <item x="6"/>
        <item x="7"/>
        <item x="8"/>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s>
  <rowFields count="1">
    <field x="2"/>
  </rowFields>
  <rowItems count="5">
    <i>
      <x/>
    </i>
    <i>
      <x v="1"/>
    </i>
    <i>
      <x v="2"/>
    </i>
    <i>
      <x v="3"/>
    </i>
    <i t="grand">
      <x/>
    </i>
  </rowItems>
  <colFields count="1">
    <field x="-2"/>
  </colFields>
  <colItems count="2">
    <i>
      <x/>
    </i>
    <i i="1">
      <x v="1"/>
    </i>
  </colItems>
  <dataFields count="2">
    <dataField fld="3" subtotal="count" baseField="0" baseItem="0"/>
    <dataField fld="4" subtotal="count" baseField="0" baseItem="0"/>
  </dataField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val="5" filterVal="5"/>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x14:conditionalFormats count="1">
          <x14:conditionalFormat scope="field" priority="6" id="{80A166DD-5CD1-4251-B116-3C5CA13CFFE4}">
            <x14:pivotAreas count="1">
              <pivotArea outline="0" collapsedLevelsAreSubtotals="1" fieldPosition="0">
                <references count="2">
                  <reference field="4294967294" count="1" selected="0">
                    <x v="1"/>
                  </reference>
                  <reference field="2" count="0" selected="0"/>
                </references>
              </pivotArea>
            </x14:pivotAreas>
          </x14:conditionalFormat>
        </x14:conditionalFormats>
      </x14:pivotTableDefinition>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B8C2D09-E0CF-49BF-A5FA-E5D3A18A54C0}" name="PivotTable1" cacheId="418" applyNumberFormats="0" applyBorderFormats="0" applyFontFormats="0" applyPatternFormats="0" applyAlignmentFormats="0" applyWidthHeightFormats="1" dataCaption="Values" tag="7a468f9f-b969-4a6b-91c8-6a169345a491" updatedVersion="8" minRefreshableVersion="3" useAutoFormatting="1" subtotalHiddenItems="1" colGrandTotals="0" itemPrintTitles="1" createdVersion="8" indent="0" compact="0" outline="1" outlineData="1" compactData="0" multipleFieldFilters="0" chartFormat="69">
  <location ref="K18:L23" firstHeaderRow="1" firstDataRow="1" firstDataCol="1"/>
  <pivotFields count="4">
    <pivotField compact="0" allDrilled="1" showAll="0" sortType="ascending" defaultSubtotal="0" defaultAttributeDrillState="1">
      <items count="12">
        <item x="4"/>
        <item x="3"/>
        <item x="7"/>
        <item x="0"/>
        <item x="8"/>
        <item x="6"/>
        <item x="5"/>
        <item x="1"/>
        <item x="11"/>
        <item x="10"/>
        <item x="9"/>
        <item x="2"/>
      </items>
      <extLst>
        <ext xmlns:x14="http://schemas.microsoft.com/office/spreadsheetml/2009/9/main" uri="{2946ED86-A175-432a-8AC1-64E0C546D7DE}">
          <x14:pivotField fillDownLabels="1"/>
        </ext>
      </extLst>
    </pivotField>
    <pivotField compact="0" allDrilled="1" showAll="0" measureFilter="1" defaultSubtotal="0" defaultAttributeDrillState="1">
      <items count="46">
        <item x="3"/>
        <item x="22"/>
        <item x="9"/>
        <item x="1"/>
        <item x="10"/>
        <item x="0"/>
        <item x="2"/>
        <item x="4"/>
        <item x="5"/>
        <item x="6"/>
        <item x="7"/>
        <item x="8"/>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s>
      <extLst>
        <ext xmlns:x14="http://schemas.microsoft.com/office/spreadsheetml/2009/9/main" uri="{2946ED86-A175-432a-8AC1-64E0C546D7DE}">
          <x14:pivotField fillDownLabels="1"/>
        </ext>
      </extLst>
    </pivotField>
    <pivotField axis="axisRow" compact="0" allDrilled="1"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showAll="0">
      <extLst>
        <ext xmlns:x14="http://schemas.microsoft.com/office/spreadsheetml/2009/9/main" uri="{2946ED86-A175-432a-8AC1-64E0C546D7DE}">
          <x14:pivotField fillDownLabels="1"/>
        </ext>
      </extLst>
    </pivotField>
  </pivotFields>
  <rowFields count="1">
    <field x="2"/>
  </rowFields>
  <rowItems count="5">
    <i>
      <x/>
    </i>
    <i>
      <x v="1"/>
    </i>
    <i>
      <x v="2"/>
    </i>
    <i>
      <x v="3"/>
    </i>
    <i t="grand">
      <x/>
    </i>
  </rowItems>
  <colItems count="1">
    <i/>
  </colItems>
  <dataFields count="1">
    <dataField fld="3" subtotal="count" baseField="0" baseItem="0"/>
  </dataFields>
  <pivotHierarchies count="99">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1" type="count" id="1" iMeasureHier="52">
      <autoFilter ref="A1">
        <filterColumn colId="0">
          <top10 val="5" filterVal="5"/>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Calendar]"/>
        <x15:activeTabTopLevelEntity name="[hCalendar]"/>
        <x15:activeTabTopLevelEntity name="[Super_Stor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1259F15-BF8D-416B-9313-46DCB949829E}" name="# Number of Orders" cacheId="31" applyNumberFormats="0" applyBorderFormats="0" applyFontFormats="0" applyPatternFormats="0" applyAlignmentFormats="0" applyWidthHeightFormats="1" dataCaption="Values" tag="4ad407e1-6aad-4c3b-adfd-98ee64113074" updatedVersion="8" minRefreshableVersion="3" showDrill="0" useAutoFormatting="1" subtotalHiddenItems="1" itemPrintTitles="1" createdVersion="8" indent="0" outline="1" outlineData="1" multipleFieldFilters="0" chartFormat="11">
  <location ref="H2:I7" firstHeaderRow="1" firstDataRow="1" firstDataCol="1"/>
  <pivotFields count="4">
    <pivotField allDrilled="1" subtotalTop="0" showAll="0" measureFilter="1" defaultSubtotal="0" defaultAttributeDrillState="1">
      <items count="20">
        <item x="0"/>
        <item x="1"/>
        <item x="2"/>
        <item x="3"/>
        <item x="4"/>
        <item x="5"/>
        <item x="6"/>
        <item x="7"/>
        <item x="8"/>
        <item x="9"/>
        <item x="10"/>
        <item x="11"/>
        <item x="12"/>
        <item x="13"/>
        <item x="14"/>
        <item x="15"/>
        <item x="16"/>
        <item x="17"/>
        <item x="18"/>
        <item x="19"/>
      </items>
    </pivotField>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dataField="1" subtotalTop="0" showAll="0" defaultSubtotal="0"/>
  </pivotFields>
  <rowFields count="1">
    <field x="2"/>
  </rowFields>
  <rowItems count="5">
    <i>
      <x/>
    </i>
    <i>
      <x v="1"/>
    </i>
    <i>
      <x v="2"/>
    </i>
    <i>
      <x v="3"/>
    </i>
    <i t="grand">
      <x/>
    </i>
  </rowItems>
  <colItems count="1">
    <i/>
  </colItems>
  <dataFields count="1">
    <dataField fld="3" subtotal="count" baseField="2" baseItem="1" numFmtId="171"/>
  </dataFields>
  <formats count="2">
    <format dxfId="5">
      <pivotArea outline="0" collapsedLevelsAreSubtotals="1" fieldPosition="0"/>
    </format>
    <format dxfId="4">
      <pivotArea outline="0" fieldPosition="0">
        <references count="1">
          <reference field="4294967294" count="1">
            <x v="0"/>
          </reference>
        </references>
      </pivotArea>
    </format>
  </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0" type="count" id="3" iMeasureHier="78">
      <autoFilter ref="A1">
        <filterColumn colId="0">
          <top10 top="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6EA9E83-548F-460F-8763-639A7C82576B}" name="Profit by segement" cacheId="46" applyNumberFormats="0" applyBorderFormats="0" applyFontFormats="0" applyPatternFormats="0" applyAlignmentFormats="0" applyWidthHeightFormats="1" dataCaption="Values" tag="dde64da2-c2df-43a6-b28e-f488f99c4071" updatedVersion="8" minRefreshableVersion="3" showDrill="0" useAutoFormatting="1" subtotalHiddenItems="1" itemPrintTitles="1" createdVersion="8" indent="0" outline="1" outlineData="1" multipleFieldFilters="0" chartFormat="55">
  <location ref="E55:F59" firstHeaderRow="1" firstDataRow="1" firstDataCol="1"/>
  <pivotFields count="4">
    <pivotField allDrilled="1" subtotalTop="0" showAll="0" measureFilter="1" defaultSubtotal="0" defaultAttributeDrillState="1">
      <items count="20">
        <item x="0"/>
        <item x="1"/>
        <item x="2"/>
        <item x="3"/>
        <item x="4"/>
        <item x="5"/>
        <item x="6"/>
        <item x="7"/>
        <item x="8"/>
        <item x="9"/>
        <item x="10"/>
        <item x="11"/>
        <item x="12"/>
        <item x="13"/>
        <item x="14"/>
        <item x="15"/>
        <item x="16"/>
        <item x="17"/>
        <item x="18"/>
        <item x="19"/>
      </items>
    </pivotField>
    <pivotField allDrilled="1" subtotalTop="0" showAll="0" dataSourceSort="1" defaultSubtotal="0" defaultAttributeDrillState="1"/>
    <pivotField axis="axisRow" allDrilled="1" subtotalTop="0" showAll="0" defaultSubtotal="0" defaultAttributeDrillState="1">
      <items count="3">
        <item x="0"/>
        <item x="1"/>
        <item x="2"/>
      </items>
    </pivotField>
    <pivotField dataField="1" subtotalTop="0" showAll="0" defaultSubtotal="0"/>
  </pivotFields>
  <rowFields count="1">
    <field x="2"/>
  </rowFields>
  <rowItems count="4">
    <i>
      <x/>
    </i>
    <i>
      <x v="1"/>
    </i>
    <i>
      <x v="2"/>
    </i>
    <i t="grand">
      <x/>
    </i>
  </rowItems>
  <colItems count="1">
    <i/>
  </colItems>
  <dataFields count="1">
    <dataField fld="3" subtotal="count" baseField="2" baseItem="2" numFmtId="165"/>
  </dataFields>
  <formats count="2">
    <format dxfId="7">
      <pivotArea outline="0" collapsedLevelsAreSubtotals="1" fieldPosition="0"/>
    </format>
    <format dxfId="6">
      <pivotArea outline="0" fieldPosition="0">
        <references count="1">
          <reference field="4294967294" count="1">
            <x v="0"/>
          </reference>
        </references>
      </pivotArea>
    </format>
  </formats>
  <chartFormats count="34">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9" format="4" series="1">
      <pivotArea type="data" outline="0" fieldPosition="0">
        <references count="1">
          <reference field="4294967294" count="1" selected="0">
            <x v="0"/>
          </reference>
        </references>
      </pivotArea>
    </chartFormat>
    <chartFormat chart="19" format="5">
      <pivotArea type="data" outline="0" fieldPosition="0">
        <references count="2">
          <reference field="4294967294" count="1" selected="0">
            <x v="0"/>
          </reference>
          <reference field="2" count="1" selected="0">
            <x v="0"/>
          </reference>
        </references>
      </pivotArea>
    </chartFormat>
    <chartFormat chart="19" format="6">
      <pivotArea type="data" outline="0" fieldPosition="0">
        <references count="2">
          <reference field="4294967294" count="1" selected="0">
            <x v="0"/>
          </reference>
          <reference field="2" count="1" selected="0">
            <x v="1"/>
          </reference>
        </references>
      </pivotArea>
    </chartFormat>
    <chartFormat chart="19" format="7">
      <pivotArea type="data" outline="0" fieldPosition="0">
        <references count="2">
          <reference field="4294967294" count="1" selected="0">
            <x v="0"/>
          </reference>
          <reference field="2" count="1" selected="0">
            <x v="2"/>
          </reference>
        </references>
      </pivotArea>
    </chartFormat>
    <chartFormat chart="20" format="8" series="1">
      <pivotArea type="data" outline="0" fieldPosition="0">
        <references count="1">
          <reference field="4294967294" count="1" selected="0">
            <x v="0"/>
          </reference>
        </references>
      </pivotArea>
    </chartFormat>
    <chartFormat chart="20" format="9">
      <pivotArea type="data" outline="0" fieldPosition="0">
        <references count="2">
          <reference field="4294967294" count="1" selected="0">
            <x v="0"/>
          </reference>
          <reference field="2" count="1" selected="0">
            <x v="0"/>
          </reference>
        </references>
      </pivotArea>
    </chartFormat>
    <chartFormat chart="20" format="10">
      <pivotArea type="data" outline="0" fieldPosition="0">
        <references count="2">
          <reference field="4294967294" count="1" selected="0">
            <x v="0"/>
          </reference>
          <reference field="2" count="1" selected="0">
            <x v="1"/>
          </reference>
        </references>
      </pivotArea>
    </chartFormat>
    <chartFormat chart="20" format="11">
      <pivotArea type="data" outline="0" fieldPosition="0">
        <references count="2">
          <reference field="4294967294" count="1" selected="0">
            <x v="0"/>
          </reference>
          <reference field="2" count="1" selected="0">
            <x v="2"/>
          </reference>
        </references>
      </pivotArea>
    </chartFormat>
    <chartFormat chart="21" format="8" series="1">
      <pivotArea type="data" outline="0" fieldPosition="0">
        <references count="1">
          <reference field="4294967294" count="1" selected="0">
            <x v="0"/>
          </reference>
        </references>
      </pivotArea>
    </chartFormat>
    <chartFormat chart="21" format="9">
      <pivotArea type="data" outline="0" fieldPosition="0">
        <references count="2">
          <reference field="4294967294" count="1" selected="0">
            <x v="0"/>
          </reference>
          <reference field="2" count="1" selected="0">
            <x v="0"/>
          </reference>
        </references>
      </pivotArea>
    </chartFormat>
    <chartFormat chart="21" format="10">
      <pivotArea type="data" outline="0" fieldPosition="0">
        <references count="2">
          <reference field="4294967294" count="1" selected="0">
            <x v="0"/>
          </reference>
          <reference field="2" count="1" selected="0">
            <x v="1"/>
          </reference>
        </references>
      </pivotArea>
    </chartFormat>
    <chartFormat chart="21" format="11">
      <pivotArea type="data" outline="0" fieldPosition="0">
        <references count="2">
          <reference field="4294967294" count="1" selected="0">
            <x v="0"/>
          </reference>
          <reference field="2" count="1" selected="0">
            <x v="2"/>
          </reference>
        </references>
      </pivotArea>
    </chartFormat>
    <chartFormat chart="31" format="5" series="1">
      <pivotArea type="data" outline="0" fieldPosition="0">
        <references count="1">
          <reference field="4294967294" count="1" selected="0">
            <x v="0"/>
          </reference>
        </references>
      </pivotArea>
    </chartFormat>
    <chartFormat chart="31" format="6">
      <pivotArea type="data" outline="0" fieldPosition="0">
        <references count="2">
          <reference field="4294967294" count="1" selected="0">
            <x v="0"/>
          </reference>
          <reference field="2" count="1" selected="0">
            <x v="0"/>
          </reference>
        </references>
      </pivotArea>
    </chartFormat>
    <chartFormat chart="31" format="7">
      <pivotArea type="data" outline="0" fieldPosition="0">
        <references count="2">
          <reference field="4294967294" count="1" selected="0">
            <x v="0"/>
          </reference>
          <reference field="2" count="1" selected="0">
            <x v="1"/>
          </reference>
        </references>
      </pivotArea>
    </chartFormat>
    <chartFormat chart="31" format="8">
      <pivotArea type="data" outline="0" fieldPosition="0">
        <references count="2">
          <reference field="4294967294" count="1" selected="0">
            <x v="0"/>
          </reference>
          <reference field="2" count="1" selected="0">
            <x v="2"/>
          </reference>
        </references>
      </pivotArea>
    </chartFormat>
    <chartFormat chart="35" format="9" series="1">
      <pivotArea type="data" outline="0" fieldPosition="0">
        <references count="1">
          <reference field="4294967294" count="1" selected="0">
            <x v="0"/>
          </reference>
        </references>
      </pivotArea>
    </chartFormat>
    <chartFormat chart="35" format="10">
      <pivotArea type="data" outline="0" fieldPosition="0">
        <references count="2">
          <reference field="4294967294" count="1" selected="0">
            <x v="0"/>
          </reference>
          <reference field="2" count="1" selected="0">
            <x v="0"/>
          </reference>
        </references>
      </pivotArea>
    </chartFormat>
    <chartFormat chart="35" format="11">
      <pivotArea type="data" outline="0" fieldPosition="0">
        <references count="2">
          <reference field="4294967294" count="1" selected="0">
            <x v="0"/>
          </reference>
          <reference field="2" count="1" selected="0">
            <x v="1"/>
          </reference>
        </references>
      </pivotArea>
    </chartFormat>
    <chartFormat chart="35" format="12">
      <pivotArea type="data" outline="0" fieldPosition="0">
        <references count="2">
          <reference field="4294967294" count="1" selected="0">
            <x v="0"/>
          </reference>
          <reference field="2" count="1" selected="0">
            <x v="2"/>
          </reference>
        </references>
      </pivotArea>
    </chartFormat>
    <chartFormat chart="36" format="13" series="1">
      <pivotArea type="data" outline="0" fieldPosition="0">
        <references count="1">
          <reference field="4294967294" count="1" selected="0">
            <x v="0"/>
          </reference>
        </references>
      </pivotArea>
    </chartFormat>
    <chartFormat chart="36" format="14">
      <pivotArea type="data" outline="0" fieldPosition="0">
        <references count="2">
          <reference field="4294967294" count="1" selected="0">
            <x v="0"/>
          </reference>
          <reference field="2" count="1" selected="0">
            <x v="0"/>
          </reference>
        </references>
      </pivotArea>
    </chartFormat>
    <chartFormat chart="36" format="15">
      <pivotArea type="data" outline="0" fieldPosition="0">
        <references count="2">
          <reference field="4294967294" count="1" selected="0">
            <x v="0"/>
          </reference>
          <reference field="2" count="1" selected="0">
            <x v="1"/>
          </reference>
        </references>
      </pivotArea>
    </chartFormat>
    <chartFormat chart="36" format="16">
      <pivotArea type="data" outline="0" fieldPosition="0">
        <references count="2">
          <reference field="4294967294" count="1" selected="0">
            <x v="0"/>
          </reference>
          <reference field="2" count="1" selected="0">
            <x v="2"/>
          </reference>
        </references>
      </pivotArea>
    </chartFormat>
    <chartFormat chart="37" format="16" series="1">
      <pivotArea type="data" outline="0" fieldPosition="0">
        <references count="1">
          <reference field="4294967294" count="1" selected="0">
            <x v="0"/>
          </reference>
        </references>
      </pivotArea>
    </chartFormat>
    <chartFormat chart="37" format="17">
      <pivotArea type="data" outline="0" fieldPosition="0">
        <references count="2">
          <reference field="4294967294" count="1" selected="0">
            <x v="0"/>
          </reference>
          <reference field="2" count="1" selected="0">
            <x v="0"/>
          </reference>
        </references>
      </pivotArea>
    </chartFormat>
    <chartFormat chart="37" format="18">
      <pivotArea type="data" outline="0" fieldPosition="0">
        <references count="2">
          <reference field="4294967294" count="1" selected="0">
            <x v="0"/>
          </reference>
          <reference field="2" count="1" selected="0">
            <x v="1"/>
          </reference>
        </references>
      </pivotArea>
    </chartFormat>
    <chartFormat chart="37" format="19">
      <pivotArea type="data" outline="0" fieldPosition="0">
        <references count="2">
          <reference field="4294967294" count="1" selected="0">
            <x v="0"/>
          </reference>
          <reference field="2" count="1" selected="0">
            <x v="2"/>
          </reference>
        </references>
      </pivotArea>
    </chartFormat>
    <chartFormat chart="38" format="20" series="1">
      <pivotArea type="data" outline="0" fieldPosition="0">
        <references count="1">
          <reference field="4294967294" count="1" selected="0">
            <x v="0"/>
          </reference>
        </references>
      </pivotArea>
    </chartFormat>
    <chartFormat chart="38" format="21">
      <pivotArea type="data" outline="0" fieldPosition="0">
        <references count="2">
          <reference field="4294967294" count="1" selected="0">
            <x v="0"/>
          </reference>
          <reference field="2" count="1" selected="0">
            <x v="0"/>
          </reference>
        </references>
      </pivotArea>
    </chartFormat>
    <chartFormat chart="38" format="22">
      <pivotArea type="data" outline="0" fieldPosition="0">
        <references count="2">
          <reference field="4294967294" count="1" selected="0">
            <x v="0"/>
          </reference>
          <reference field="2" count="1" selected="0">
            <x v="1"/>
          </reference>
        </references>
      </pivotArea>
    </chartFormat>
    <chartFormat chart="38" format="23">
      <pivotArea type="data" outline="0" fieldPosition="0">
        <references count="2">
          <reference field="4294967294" count="1" selected="0">
            <x v="0"/>
          </reference>
          <reference field="2" count="1" selected="0">
            <x v="2"/>
          </reference>
        </references>
      </pivotArea>
    </chartFormat>
  </chart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0" type="count" id="3" iMeasureHier="78">
      <autoFilter ref="A1">
        <filterColumn colId="0">
          <top10 top="0" val="10" filterVal="10"/>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activeTabTopLevelEntity name="[Returns]"/>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C25A6DD-93CF-4D89-85A5-0AFB93A3AF34}" name="PivotTable1" cacheId="49" applyNumberFormats="0" applyBorderFormats="0" applyFontFormats="0" applyPatternFormats="0" applyAlignmentFormats="0" applyWidthHeightFormats="1" dataCaption="Values" tag="dde64da2-c2df-43a6-b28e-f488f99c4071" updatedVersion="8" minRefreshableVersion="3" showDrill="0" useAutoFormatting="1" subtotalHiddenItems="1" itemPrintTitles="1" createdVersion="8" indent="0" outline="1" outlineData="1" multipleFieldFilters="0" chartFormat="63">
  <location ref="I55:J60" firstHeaderRow="1" firstDataRow="1" firstDataCol="1"/>
  <pivotFields count="4">
    <pivotField allDrilled="1" subtotalTop="0" showAll="0" measureFilter="1" defaultSubtotal="0" defaultAttributeDrillState="1">
      <items count="20">
        <item x="0"/>
        <item x="1"/>
        <item x="2"/>
        <item x="3"/>
        <item x="4"/>
        <item x="5"/>
        <item x="6"/>
        <item x="7"/>
        <item x="8"/>
        <item x="9"/>
        <item x="10"/>
        <item x="11"/>
        <item x="12"/>
        <item x="13"/>
        <item x="14"/>
        <item x="15"/>
        <item x="16"/>
        <item x="17"/>
        <item x="18"/>
        <item x="19"/>
      </items>
    </pivotField>
    <pivotField allDrilled="1" subtotalTop="0" showAll="0" dataSourceSort="1" defaultSubtotal="0" defaultAttributeDrillState="1"/>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s>
  <rowFields count="1">
    <field x="3"/>
  </rowFields>
  <rowItems count="5">
    <i>
      <x v="1"/>
    </i>
    <i>
      <x v="2"/>
    </i>
    <i>
      <x v="3"/>
    </i>
    <i>
      <x/>
    </i>
    <i t="grand">
      <x/>
    </i>
  </rowItems>
  <colItems count="1">
    <i/>
  </colItems>
  <dataFields count="1">
    <dataField fld="2" subtotal="count" baseField="0" baseItem="0" numFmtId="165"/>
  </dataFields>
  <formats count="2">
    <format dxfId="9">
      <pivotArea outline="0" collapsedLevelsAreSubtotals="1" fieldPosition="0"/>
    </format>
    <format dxfId="8">
      <pivotArea outline="0" fieldPosition="0">
        <references count="1">
          <reference field="4294967294" count="1">
            <x v="0"/>
          </reference>
        </references>
      </pivotArea>
    </format>
  </formats>
  <chartFormats count="35">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9" format="4" series="1">
      <pivotArea type="data" outline="0" fieldPosition="0">
        <references count="1">
          <reference field="4294967294" count="1" selected="0">
            <x v="0"/>
          </reference>
        </references>
      </pivotArea>
    </chartFormat>
    <chartFormat chart="20" format="8" series="1">
      <pivotArea type="data" outline="0" fieldPosition="0">
        <references count="1">
          <reference field="4294967294" count="1" selected="0">
            <x v="0"/>
          </reference>
        </references>
      </pivotArea>
    </chartFormat>
    <chartFormat chart="21" format="8" series="1">
      <pivotArea type="data" outline="0" fieldPosition="0">
        <references count="1">
          <reference field="4294967294" count="1" selected="0">
            <x v="0"/>
          </reference>
        </references>
      </pivotArea>
    </chartFormat>
    <chartFormat chart="31" format="5" series="1">
      <pivotArea type="data" outline="0" fieldPosition="0">
        <references count="1">
          <reference field="4294967294" count="1" selected="0">
            <x v="0"/>
          </reference>
        </references>
      </pivotArea>
    </chartFormat>
    <chartFormat chart="35" format="9" series="1">
      <pivotArea type="data" outline="0" fieldPosition="0">
        <references count="1">
          <reference field="4294967294" count="1" selected="0">
            <x v="0"/>
          </reference>
        </references>
      </pivotArea>
    </chartFormat>
    <chartFormat chart="36" format="13" series="1">
      <pivotArea type="data" outline="0" fieldPosition="0">
        <references count="1">
          <reference field="4294967294" count="1" selected="0">
            <x v="0"/>
          </reference>
        </references>
      </pivotArea>
    </chartFormat>
    <chartFormat chart="37" format="16" series="1">
      <pivotArea type="data" outline="0" fieldPosition="0">
        <references count="1">
          <reference field="4294967294" count="1" selected="0">
            <x v="0"/>
          </reference>
        </references>
      </pivotArea>
    </chartFormat>
    <chartFormat chart="38" format="20" series="1">
      <pivotArea type="data" outline="0" fieldPosition="0">
        <references count="1">
          <reference field="4294967294" count="1" selected="0">
            <x v="0"/>
          </reference>
        </references>
      </pivotArea>
    </chartFormat>
    <chartFormat chart="59" format="21" series="1">
      <pivotArea type="data" outline="0" fieldPosition="0">
        <references count="1">
          <reference field="4294967294" count="1" selected="0">
            <x v="0"/>
          </reference>
        </references>
      </pivotArea>
    </chartFormat>
    <chartFormat chart="59" format="22">
      <pivotArea type="data" outline="0" fieldPosition="0">
        <references count="2">
          <reference field="4294967294" count="1" selected="0">
            <x v="0"/>
          </reference>
          <reference field="3" count="1" selected="0">
            <x v="1"/>
          </reference>
        </references>
      </pivotArea>
    </chartFormat>
    <chartFormat chart="59" format="23">
      <pivotArea type="data" outline="0" fieldPosition="0">
        <references count="2">
          <reference field="4294967294" count="1" selected="0">
            <x v="0"/>
          </reference>
          <reference field="3" count="1" selected="0">
            <x v="2"/>
          </reference>
        </references>
      </pivotArea>
    </chartFormat>
    <chartFormat chart="59" format="24">
      <pivotArea type="data" outline="0" fieldPosition="0">
        <references count="2">
          <reference field="4294967294" count="1" selected="0">
            <x v="0"/>
          </reference>
          <reference field="3" count="1" selected="0">
            <x v="3"/>
          </reference>
        </references>
      </pivotArea>
    </chartFormat>
    <chartFormat chart="59" format="25">
      <pivotArea type="data" outline="0" fieldPosition="0">
        <references count="2">
          <reference field="4294967294" count="1" selected="0">
            <x v="0"/>
          </reference>
          <reference field="3" count="1" selected="0">
            <x v="0"/>
          </reference>
        </references>
      </pivotArea>
    </chartFormat>
    <chartFormat chart="60" format="21" series="1">
      <pivotArea type="data" outline="0" fieldPosition="0">
        <references count="1">
          <reference field="4294967294" count="1" selected="0">
            <x v="0"/>
          </reference>
        </references>
      </pivotArea>
    </chartFormat>
    <chartFormat chart="60" format="22">
      <pivotArea type="data" outline="0" fieldPosition="0">
        <references count="2">
          <reference field="4294967294" count="1" selected="0">
            <x v="0"/>
          </reference>
          <reference field="3" count="1" selected="0">
            <x v="1"/>
          </reference>
        </references>
      </pivotArea>
    </chartFormat>
    <chartFormat chart="60" format="23">
      <pivotArea type="data" outline="0" fieldPosition="0">
        <references count="2">
          <reference field="4294967294" count="1" selected="0">
            <x v="0"/>
          </reference>
          <reference field="3" count="1" selected="0">
            <x v="2"/>
          </reference>
        </references>
      </pivotArea>
    </chartFormat>
    <chartFormat chart="60" format="24">
      <pivotArea type="data" outline="0" fieldPosition="0">
        <references count="2">
          <reference field="4294967294" count="1" selected="0">
            <x v="0"/>
          </reference>
          <reference field="3" count="1" selected="0">
            <x v="3"/>
          </reference>
        </references>
      </pivotArea>
    </chartFormat>
    <chartFormat chart="60" format="25">
      <pivotArea type="data" outline="0" fieldPosition="0">
        <references count="2">
          <reference field="4294967294" count="1" selected="0">
            <x v="0"/>
          </reference>
          <reference field="3" count="1" selected="0">
            <x v="0"/>
          </reference>
        </references>
      </pivotArea>
    </chartFormat>
    <chartFormat chart="61" format="21" series="1">
      <pivotArea type="data" outline="0" fieldPosition="0">
        <references count="1">
          <reference field="4294967294" count="1" selected="0">
            <x v="0"/>
          </reference>
        </references>
      </pivotArea>
    </chartFormat>
    <chartFormat chart="61" format="22">
      <pivotArea type="data" outline="0" fieldPosition="0">
        <references count="2">
          <reference field="4294967294" count="1" selected="0">
            <x v="0"/>
          </reference>
          <reference field="3" count="1" selected="0">
            <x v="1"/>
          </reference>
        </references>
      </pivotArea>
    </chartFormat>
    <chartFormat chart="61" format="23">
      <pivotArea type="data" outline="0" fieldPosition="0">
        <references count="2">
          <reference field="4294967294" count="1" selected="0">
            <x v="0"/>
          </reference>
          <reference field="3" count="1" selected="0">
            <x v="2"/>
          </reference>
        </references>
      </pivotArea>
    </chartFormat>
    <chartFormat chart="61" format="24">
      <pivotArea type="data" outline="0" fieldPosition="0">
        <references count="2">
          <reference field="4294967294" count="1" selected="0">
            <x v="0"/>
          </reference>
          <reference field="3" count="1" selected="0">
            <x v="3"/>
          </reference>
        </references>
      </pivotArea>
    </chartFormat>
    <chartFormat chart="61" format="25">
      <pivotArea type="data" outline="0" fieldPosition="0">
        <references count="2">
          <reference field="4294967294" count="1" selected="0">
            <x v="0"/>
          </reference>
          <reference field="3" count="1" selected="0">
            <x v="0"/>
          </reference>
        </references>
      </pivotArea>
    </chartFormat>
    <chartFormat chart="62" format="21" series="1">
      <pivotArea type="data" outline="0" fieldPosition="0">
        <references count="1">
          <reference field="4294967294" count="1" selected="0">
            <x v="0"/>
          </reference>
        </references>
      </pivotArea>
    </chartFormat>
    <chartFormat chart="62" format="22">
      <pivotArea type="data" outline="0" fieldPosition="0">
        <references count="2">
          <reference field="4294967294" count="1" selected="0">
            <x v="0"/>
          </reference>
          <reference field="3" count="1" selected="0">
            <x v="1"/>
          </reference>
        </references>
      </pivotArea>
    </chartFormat>
    <chartFormat chart="62" format="23">
      <pivotArea type="data" outline="0" fieldPosition="0">
        <references count="2">
          <reference field="4294967294" count="1" selected="0">
            <x v="0"/>
          </reference>
          <reference field="3" count="1" selected="0">
            <x v="2"/>
          </reference>
        </references>
      </pivotArea>
    </chartFormat>
    <chartFormat chart="62" format="24">
      <pivotArea type="data" outline="0" fieldPosition="0">
        <references count="2">
          <reference field="4294967294" count="1" selected="0">
            <x v="0"/>
          </reference>
          <reference field="3" count="1" selected="0">
            <x v="3"/>
          </reference>
        </references>
      </pivotArea>
    </chartFormat>
    <chartFormat chart="62" format="25">
      <pivotArea type="data" outline="0" fieldPosition="0">
        <references count="2">
          <reference field="4294967294" count="1" selected="0">
            <x v="0"/>
          </reference>
          <reference field="3" count="1" selected="0">
            <x v="0"/>
          </reference>
        </references>
      </pivotArea>
    </chartFormat>
    <chartFormat chart="57" format="20" series="1">
      <pivotArea type="data" outline="0" fieldPosition="0">
        <references count="1">
          <reference field="4294967294" count="1" selected="0">
            <x v="0"/>
          </reference>
        </references>
      </pivotArea>
    </chartFormat>
    <chartFormat chart="57" format="21">
      <pivotArea type="data" outline="0" fieldPosition="0">
        <references count="2">
          <reference field="4294967294" count="1" selected="0">
            <x v="0"/>
          </reference>
          <reference field="3" count="1" selected="0">
            <x v="1"/>
          </reference>
        </references>
      </pivotArea>
    </chartFormat>
    <chartFormat chart="57" format="22">
      <pivotArea type="data" outline="0" fieldPosition="0">
        <references count="2">
          <reference field="4294967294" count="1" selected="0">
            <x v="0"/>
          </reference>
          <reference field="3" count="1" selected="0">
            <x v="2"/>
          </reference>
        </references>
      </pivotArea>
    </chartFormat>
    <chartFormat chart="57" format="23">
      <pivotArea type="data" outline="0" fieldPosition="0">
        <references count="2">
          <reference field="4294967294" count="1" selected="0">
            <x v="0"/>
          </reference>
          <reference field="3" count="1" selected="0">
            <x v="3"/>
          </reference>
        </references>
      </pivotArea>
    </chartFormat>
    <chartFormat chart="57" format="24">
      <pivotArea type="data" outline="0" fieldPosition="0">
        <references count="2">
          <reference field="4294967294" count="1" selected="0">
            <x v="0"/>
          </reference>
          <reference field="3" count="1" selected="0">
            <x v="0"/>
          </reference>
        </references>
      </pivotArea>
    </chartFormat>
  </chart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0" type="count" id="3" iMeasureHier="78">
      <autoFilter ref="A1">
        <filterColumn colId="0">
          <top10 top="0" val="10" filterVal="10"/>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activeTabTopLevelEntity name="[Returns]"/>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1583546-7E25-4481-A2B8-286A4C4D81A4}" name="#Number of Cities " cacheId="40" applyNumberFormats="0" applyBorderFormats="0" applyFontFormats="0" applyPatternFormats="0" applyAlignmentFormats="0" applyWidthHeightFormats="1" dataCaption="Values" tag="f2eaa70a-2c29-43c5-a13e-cc3a8e713920" updatedVersion="8" minRefreshableVersion="3" showDrill="0" useAutoFormatting="1" subtotalHiddenItems="1" itemPrintTitles="1" createdVersion="8" indent="0" outline="1" outlineData="1" multipleFieldFilters="0" chartFormat="11">
  <location ref="G11:H16" firstHeaderRow="1" firstDataRow="1" firstDataCol="1"/>
  <pivotFields count="4">
    <pivotField allDrilled="1" subtotalTop="0" showAll="0" measureFilter="1" defaultSubtotal="0" defaultAttributeDrillState="1">
      <items count="20">
        <item x="0"/>
        <item x="1"/>
        <item x="2"/>
        <item x="3"/>
        <item x="4"/>
        <item x="5"/>
        <item x="6"/>
        <item x="7"/>
        <item x="8"/>
        <item x="9"/>
        <item x="10"/>
        <item x="11"/>
        <item x="12"/>
        <item x="13"/>
        <item x="14"/>
        <item x="15"/>
        <item x="16"/>
        <item x="17"/>
        <item x="18"/>
        <item x="19"/>
      </items>
    </pivotField>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dataField="1" subtotalTop="0" showAll="0" defaultSubtotal="0"/>
  </pivotFields>
  <rowFields count="1">
    <field x="2"/>
  </rowFields>
  <rowItems count="5">
    <i>
      <x/>
    </i>
    <i>
      <x v="1"/>
    </i>
    <i>
      <x v="2"/>
    </i>
    <i>
      <x v="3"/>
    </i>
    <i t="grand">
      <x/>
    </i>
  </rowItems>
  <colItems count="1">
    <i/>
  </colItems>
  <dataFields count="1">
    <dataField fld="3" subtotal="count" baseField="2" baseItem="0" numFmtId="171"/>
  </dataFields>
  <formats count="2">
    <format dxfId="11">
      <pivotArea outline="0" collapsedLevelsAreSubtotals="1" fieldPosition="0"/>
    </format>
    <format dxfId="10">
      <pivotArea outline="0" fieldPosition="0">
        <references count="1">
          <reference field="4294967294" count="1">
            <x v="0"/>
          </reference>
        </references>
      </pivotArea>
    </format>
  </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0" type="count" id="3" iMeasureHier="78">
      <autoFilter ref="A1">
        <filterColumn colId="0">
          <top10 top="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06AAE85-30D0-46FF-A5E9-3A3E3E8A59C6}" name="Top_10 Product Permance Measures" cacheId="55" applyNumberFormats="0" applyBorderFormats="0" applyFontFormats="0" applyPatternFormats="0" applyAlignmentFormats="0" applyWidthHeightFormats="1" dataCaption="Values" missingCaption="0" tag="063f4dfb-5c78-4ed7-a293-8cf7bfda48b9" updatedVersion="8" minRefreshableVersion="3" showDrill="0" useAutoFormatting="1" subtotalHiddenItems="1" rowGrandTotals="0" colGrandTotals="0" itemPrintTitles="1" createdVersion="8" indent="0" compact="0" compactData="0" multipleFieldFilters="0" chartFormat="16">
  <location ref="AK2:AP382" firstHeaderRow="0" firstDataRow="1" firstDataCol="1"/>
  <pivotFields count="8">
    <pivotField compact="0" allDrilled="1" outline="0" showAll="0" dataSourceSort="1" defaultSubtotal="0" defaultAttributeDrillState="1"/>
    <pivotField compact="0" allDrilled="1" outline="0" showAll="0" dataSourceSort="1" defaultSubtotal="0" defaultAttributeDrillState="1">
      <items count="2">
        <item s="1" x="0"/>
        <item x="1"/>
      </items>
    </pivotField>
    <pivotField axis="axisRow" compact="0" allDrilled="1" showAll="0" defaultSubtotal="0" defaultAttributeDrillState="1">
      <items count="380">
        <item x="16"/>
        <item x="24"/>
        <item x="62"/>
        <item x="76"/>
        <item x="90"/>
        <item x="97"/>
        <item x="122"/>
        <item x="130"/>
        <item x="160"/>
        <item x="173"/>
        <item x="184"/>
        <item x="187"/>
        <item x="192"/>
        <item x="228"/>
        <item x="257"/>
        <item x="298"/>
        <item x="317"/>
        <item x="351"/>
        <item x="359"/>
        <item x="2"/>
        <item x="3"/>
        <item x="28"/>
        <item x="39"/>
        <item x="42"/>
        <item x="49"/>
        <item x="50"/>
        <item x="56"/>
        <item x="75"/>
        <item x="77"/>
        <item x="88"/>
        <item x="93"/>
        <item x="94"/>
        <item x="114"/>
        <item x="115"/>
        <item x="118"/>
        <item x="131"/>
        <item x="141"/>
        <item x="146"/>
        <item x="168"/>
        <item x="169"/>
        <item x="182"/>
        <item x="186"/>
        <item x="195"/>
        <item x="202"/>
        <item x="203"/>
        <item x="208"/>
        <item x="209"/>
        <item x="216"/>
        <item x="223"/>
        <item x="230"/>
        <item x="235"/>
        <item x="236"/>
        <item x="245"/>
        <item x="248"/>
        <item x="251"/>
        <item x="258"/>
        <item x="262"/>
        <item x="266"/>
        <item x="281"/>
        <item x="283"/>
        <item x="286"/>
        <item x="291"/>
        <item x="296"/>
        <item x="297"/>
        <item x="302"/>
        <item x="303"/>
        <item x="316"/>
        <item x="319"/>
        <item x="321"/>
        <item x="323"/>
        <item x="327"/>
        <item x="332"/>
        <item x="333"/>
        <item x="346"/>
        <item x="364"/>
        <item x="0"/>
        <item x="9"/>
        <item x="18"/>
        <item x="21"/>
        <item x="25"/>
        <item x="27"/>
        <item x="29"/>
        <item x="33"/>
        <item x="38"/>
        <item x="45"/>
        <item x="53"/>
        <item x="60"/>
        <item x="63"/>
        <item x="64"/>
        <item x="65"/>
        <item x="67"/>
        <item x="70"/>
        <item x="72"/>
        <item x="83"/>
        <item x="85"/>
        <item x="91"/>
        <item x="96"/>
        <item x="100"/>
        <item x="104"/>
        <item x="106"/>
        <item x="113"/>
        <item x="126"/>
        <item x="133"/>
        <item x="140"/>
        <item x="144"/>
        <item x="157"/>
        <item x="158"/>
        <item x="159"/>
        <item x="161"/>
        <item x="170"/>
        <item x="174"/>
        <item x="179"/>
        <item x="185"/>
        <item x="190"/>
        <item x="193"/>
        <item x="196"/>
        <item x="197"/>
        <item x="199"/>
        <item x="201"/>
        <item x="204"/>
        <item x="207"/>
        <item x="212"/>
        <item x="215"/>
        <item x="220"/>
        <item x="221"/>
        <item x="222"/>
        <item x="229"/>
        <item x="233"/>
        <item x="234"/>
        <item x="237"/>
        <item x="238"/>
        <item x="239"/>
        <item x="241"/>
        <item x="242"/>
        <item x="244"/>
        <item x="253"/>
        <item x="254"/>
        <item x="256"/>
        <item x="261"/>
        <item x="263"/>
        <item x="269"/>
        <item x="270"/>
        <item x="275"/>
        <item x="278"/>
        <item x="280"/>
        <item x="287"/>
        <item x="292"/>
        <item x="294"/>
        <item x="312"/>
        <item x="314"/>
        <item x="322"/>
        <item x="325"/>
        <item x="335"/>
        <item x="337"/>
        <item x="343"/>
        <item x="349"/>
        <item x="355"/>
        <item x="361"/>
        <item x="367"/>
        <item x="370"/>
        <item x="376"/>
        <item x="377"/>
        <item x="4"/>
        <item x="19"/>
        <item x="32"/>
        <item x="43"/>
        <item x="61"/>
        <item x="74"/>
        <item x="79"/>
        <item x="81"/>
        <item x="92"/>
        <item x="105"/>
        <item x="116"/>
        <item x="123"/>
        <item x="137"/>
        <item x="149"/>
        <item x="153"/>
        <item x="165"/>
        <item x="175"/>
        <item x="189"/>
        <item x="198"/>
        <item x="205"/>
        <item x="240"/>
        <item x="243"/>
        <item x="247"/>
        <item x="259"/>
        <item x="276"/>
        <item x="277"/>
        <item x="293"/>
        <item x="299"/>
        <item x="305"/>
        <item x="309"/>
        <item x="315"/>
        <item x="324"/>
        <item x="330"/>
        <item x="338"/>
        <item x="340"/>
        <item x="350"/>
        <item x="357"/>
        <item x="366"/>
        <item x="368"/>
        <item x="5"/>
        <item x="6"/>
        <item x="10"/>
        <item x="12"/>
        <item x="15"/>
        <item x="20"/>
        <item x="26"/>
        <item x="31"/>
        <item x="35"/>
        <item x="36"/>
        <item x="37"/>
        <item x="40"/>
        <item x="46"/>
        <item x="48"/>
        <item x="55"/>
        <item x="57"/>
        <item x="58"/>
        <item x="66"/>
        <item x="69"/>
        <item x="71"/>
        <item x="78"/>
        <item x="82"/>
        <item x="86"/>
        <item x="89"/>
        <item x="99"/>
        <item x="101"/>
        <item x="111"/>
        <item x="117"/>
        <item x="119"/>
        <item x="121"/>
        <item x="124"/>
        <item x="125"/>
        <item x="134"/>
        <item x="142"/>
        <item x="145"/>
        <item x="147"/>
        <item x="155"/>
        <item x="164"/>
        <item x="180"/>
        <item x="183"/>
        <item x="200"/>
        <item x="214"/>
        <item x="217"/>
        <item x="218"/>
        <item x="219"/>
        <item x="224"/>
        <item x="225"/>
        <item x="226"/>
        <item x="227"/>
        <item x="231"/>
        <item x="250"/>
        <item x="252"/>
        <item x="264"/>
        <item x="279"/>
        <item x="285"/>
        <item x="288"/>
        <item x="290"/>
        <item x="301"/>
        <item x="307"/>
        <item x="311"/>
        <item x="320"/>
        <item x="328"/>
        <item x="329"/>
        <item x="334"/>
        <item x="344"/>
        <item x="353"/>
        <item x="354"/>
        <item x="356"/>
        <item x="362"/>
        <item x="372"/>
        <item x="1"/>
        <item x="7"/>
        <item x="8"/>
        <item x="11"/>
        <item x="13"/>
        <item x="14"/>
        <item x="17"/>
        <item x="22"/>
        <item x="23"/>
        <item x="30"/>
        <item x="34"/>
        <item x="41"/>
        <item x="44"/>
        <item x="47"/>
        <item x="51"/>
        <item x="52"/>
        <item x="54"/>
        <item x="59"/>
        <item x="68"/>
        <item x="73"/>
        <item x="80"/>
        <item x="84"/>
        <item x="87"/>
        <item x="95"/>
        <item x="98"/>
        <item x="102"/>
        <item x="103"/>
        <item x="107"/>
        <item x="108"/>
        <item x="109"/>
        <item x="110"/>
        <item x="112"/>
        <item x="120"/>
        <item x="127"/>
        <item x="128"/>
        <item x="129"/>
        <item x="132"/>
        <item x="135"/>
        <item x="136"/>
        <item x="138"/>
        <item x="139"/>
        <item x="143"/>
        <item x="148"/>
        <item x="150"/>
        <item x="151"/>
        <item x="152"/>
        <item x="154"/>
        <item x="156"/>
        <item x="162"/>
        <item x="163"/>
        <item x="166"/>
        <item x="167"/>
        <item x="171"/>
        <item x="172"/>
        <item x="176"/>
        <item x="177"/>
        <item x="178"/>
        <item x="181"/>
        <item x="188"/>
        <item x="191"/>
        <item x="194"/>
        <item x="206"/>
        <item x="210"/>
        <item x="211"/>
        <item x="213"/>
        <item x="232"/>
        <item x="246"/>
        <item x="249"/>
        <item x="255"/>
        <item x="260"/>
        <item x="265"/>
        <item x="267"/>
        <item x="268"/>
        <item x="271"/>
        <item x="272"/>
        <item x="273"/>
        <item x="274"/>
        <item x="282"/>
        <item x="284"/>
        <item x="289"/>
        <item x="295"/>
        <item x="300"/>
        <item x="304"/>
        <item x="306"/>
        <item x="308"/>
        <item x="310"/>
        <item x="313"/>
        <item x="318"/>
        <item x="326"/>
        <item x="331"/>
        <item x="336"/>
        <item x="339"/>
        <item x="341"/>
        <item x="342"/>
        <item x="345"/>
        <item x="347"/>
        <item x="348"/>
        <item x="352"/>
        <item x="358"/>
        <item x="360"/>
        <item x="363"/>
        <item x="365"/>
        <item x="369"/>
        <item x="371"/>
        <item x="373"/>
        <item x="374"/>
        <item x="375"/>
        <item x="378"/>
        <item x="379"/>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2"/>
  </rowFields>
  <rowItems count="3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rowItems>
  <colFields count="1">
    <field x="-2"/>
  </colFields>
  <colItems count="5">
    <i>
      <x/>
    </i>
    <i i="1">
      <x v="1"/>
    </i>
    <i i="2">
      <x v="2"/>
    </i>
    <i i="3">
      <x v="3"/>
    </i>
    <i i="4">
      <x v="4"/>
    </i>
  </colItems>
  <dataFields count="5">
    <dataField name="Total Revenue" fld="7" subtotal="count" baseField="2" baseItem="12" numFmtId="165"/>
    <dataField fld="3" subtotal="count" baseField="2" baseItem="0" numFmtId="165"/>
    <dataField fld="6" subtotal="count" baseField="2" baseItem="0" numFmtId="9"/>
    <dataField fld="4" subtotal="count" baseField="2" baseItem="0" numFmtId="1"/>
    <dataField fld="5" subtotal="count" baseField="2" baseItem="0" numFmtId="1"/>
  </dataFields>
  <formats count="7">
    <format dxfId="18">
      <pivotArea outline="0" collapsedLevelsAreSubtotals="1" fieldPosition="0"/>
    </format>
    <format dxfId="17">
      <pivotArea outline="0" fieldPosition="0">
        <references count="1">
          <reference field="4294967294" count="1">
            <x v="1"/>
          </reference>
        </references>
      </pivotArea>
    </format>
    <format dxfId="16">
      <pivotArea outline="0" fieldPosition="0">
        <references count="1">
          <reference field="4294967294" count="1">
            <x v="3"/>
          </reference>
        </references>
      </pivotArea>
    </format>
    <format dxfId="15">
      <pivotArea outline="0" fieldPosition="0">
        <references count="1">
          <reference field="4294967294" count="1">
            <x v="4"/>
          </reference>
        </references>
      </pivotArea>
    </format>
    <format dxfId="14">
      <pivotArea outline="0" fieldPosition="0">
        <references count="1">
          <reference field="4294967294" count="1">
            <x v="0"/>
          </reference>
        </references>
      </pivotArea>
    </format>
    <format dxfId="13">
      <pivotArea outline="0" fieldPosition="0">
        <references count="1">
          <reference field="4294967294" count="1">
            <x v="2"/>
          </reference>
        </references>
      </pivotArea>
    </format>
    <format dxfId="12">
      <pivotArea field="2" type="button" dataOnly="0" labelOnly="1" outline="0" axis="axisRow" fieldPosition="0"/>
    </format>
  </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AD772B3-7274-432C-96D4-48BF6948D3D4}" name="PivotTable3" cacheId="61" applyNumberFormats="0" applyBorderFormats="0" applyFontFormats="0" applyPatternFormats="0" applyAlignmentFormats="0" applyWidthHeightFormats="1" dataCaption="Values" tag="6cc745c1-e86e-4552-bdbc-1e04d0243eb7" updatedVersion="8" minRefreshableVersion="3" showDrill="0" useAutoFormatting="1" subtotalHiddenItems="1" itemPrintTitles="1" createdVersion="8" indent="0" outline="1" outlineData="1" multipleFieldFilters="0" chartFormat="10">
  <location ref="B2:C13" firstHeaderRow="1" firstDataRow="1" firstDataCol="1"/>
  <pivotFields count="5">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s>
  <rowFields count="1">
    <field x="4"/>
  </rowFields>
  <rowItems count="11">
    <i>
      <x v="9"/>
    </i>
    <i>
      <x v="4"/>
    </i>
    <i>
      <x v="3"/>
    </i>
    <i>
      <x v="2"/>
    </i>
    <i>
      <x v="7"/>
    </i>
    <i>
      <x v="6"/>
    </i>
    <i>
      <x v="1"/>
    </i>
    <i>
      <x v="5"/>
    </i>
    <i>
      <x v="8"/>
    </i>
    <i>
      <x/>
    </i>
    <i t="grand">
      <x/>
    </i>
  </rowItems>
  <colItems count="1">
    <i/>
  </colItems>
  <dataFields count="1">
    <dataField fld="2" subtotal="count" baseField="0" baseItem="0" numFmtId="3"/>
  </dataFields>
  <formats count="3">
    <format dxfId="21">
      <pivotArea outline="0" collapsedLevelsAreSubtotals="1" fieldPosition="0">
        <references count="1">
          <reference field="4294967294" count="1" selected="0">
            <x v="0"/>
          </reference>
        </references>
      </pivotArea>
    </format>
    <format dxfId="20">
      <pivotArea outline="0" collapsedLevelsAreSubtotals="1" fieldPosition="0"/>
    </format>
    <format dxfId="19">
      <pivotArea outline="0" fieldPosition="0">
        <references count="1">
          <reference field="4294967294" count="1">
            <x v="0"/>
          </reference>
        </references>
      </pivotArea>
    </format>
  </formats>
  <chartFormats count="3">
    <chartFormat chart="3" format="9"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6" format="30" series="1">
      <pivotArea type="data" outline="0" fieldPosition="0">
        <references count="1">
          <reference field="4294967294" count="1" selected="0">
            <x v="0"/>
          </reference>
        </references>
      </pivotArea>
    </chartFormat>
  </chartFormats>
  <pivotHierarchies count="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3">
    <filter fld="4" type="count" id="5" iMeasureHier="78">
      <autoFilter ref="A1">
        <filterColumn colId="0">
          <top10 top="0" val="10" filterVal="10"/>
        </filterColumn>
      </autoFilter>
    </filter>
    <filter fld="0" type="count" id="2" iMeasureHier="87">
      <autoFilter ref="A1">
        <filterColumn colId="0">
          <top10 val="10" filterVal="10"/>
        </filterColumn>
      </autoFilter>
    </filter>
    <filter fld="3" type="count" id="3" iMeasureHier="78">
      <autoFilter ref="A1">
        <filterColumn colId="0">
          <top10 val="10" filterVal="10"/>
        </filterColumn>
      </autoFilter>
    </filter>
  </filters>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876E409C-FC49-43C6-A1D2-477489165F92}" name="Rating by Cities " cacheId="34" applyNumberFormats="0" applyBorderFormats="0" applyFontFormats="0" applyPatternFormats="0" applyAlignmentFormats="0" applyWidthHeightFormats="1" dataCaption="Values" tag="6cc745c1-e86e-4552-bdbc-1e04d0243eb7" updatedVersion="8" minRefreshableVersion="3" showDrill="0" useAutoFormatting="1" subtotalHiddenItems="1" itemPrintTitles="1" createdVersion="8" indent="0" outline="1" outlineData="1" multipleFieldFilters="0" chartFormat="10">
  <location ref="B17:C28" firstHeaderRow="1" firstDataRow="1" firstDataCol="1"/>
  <pivotFields count="5">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s>
  <rowFields count="1">
    <field x="4"/>
  </rowFields>
  <rowItems count="11">
    <i>
      <x v="6"/>
    </i>
    <i>
      <x v="8"/>
    </i>
    <i>
      <x v="5"/>
    </i>
    <i>
      <x v="2"/>
    </i>
    <i>
      <x v="7"/>
    </i>
    <i>
      <x v="3"/>
    </i>
    <i>
      <x v="9"/>
    </i>
    <i>
      <x v="4"/>
    </i>
    <i>
      <x/>
    </i>
    <i>
      <x v="1"/>
    </i>
    <i t="grand">
      <x/>
    </i>
  </rowItems>
  <colItems count="1">
    <i/>
  </colItems>
  <dataFields count="1">
    <dataField fld="2" subtotal="count" baseField="0" baseItem="0" numFmtId="3"/>
  </dataFields>
  <formats count="3">
    <format dxfId="24">
      <pivotArea outline="0" collapsedLevelsAreSubtotals="1" fieldPosition="0">
        <references count="1">
          <reference field="4294967294" count="1" selected="0">
            <x v="0"/>
          </reference>
        </references>
      </pivotArea>
    </format>
    <format dxfId="23">
      <pivotArea outline="0" collapsedLevelsAreSubtotals="1" fieldPosition="0"/>
    </format>
    <format dxfId="22">
      <pivotArea outline="0" fieldPosition="0">
        <references count="1">
          <reference field="4294967294" count="1">
            <x v="0"/>
          </reference>
        </references>
      </pivotArea>
    </format>
  </formats>
  <chartFormats count="3">
    <chartFormat chart="3" format="9"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6" format="30" series="1">
      <pivotArea type="data" outline="0" fieldPosition="0">
        <references count="1">
          <reference field="4294967294" count="1" selected="0">
            <x v="0"/>
          </reference>
        </references>
      </pivotArea>
    </chartFormat>
  </chartFormats>
  <pivotHierarchies count="9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3">
    <filter fld="0" type="count" id="2" iMeasureHier="87">
      <autoFilter ref="A1">
        <filterColumn colId="0">
          <top10 val="10" filterVal="10"/>
        </filterColumn>
      </autoFilter>
    </filter>
    <filter fld="3" type="count" id="3" iMeasureHier="78">
      <autoFilter ref="A1">
        <filterColumn colId="0">
          <top10 val="10" filterVal="10"/>
        </filterColumn>
      </autoFilter>
    </filter>
    <filter fld="4" type="count" id="4" iMeasureHier="78">
      <autoFilter ref="A1">
        <filterColumn colId="0">
          <top10 val="10" filterVal="10"/>
        </filterColumn>
      </autoFilter>
    </filter>
  </filters>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3CB769D-4B54-45CD-8EAB-ABFB9B86938F}" name="Profitability Rate" cacheId="37" applyNumberFormats="0" applyBorderFormats="0" applyFontFormats="0" applyPatternFormats="0" applyAlignmentFormats="0" applyWidthHeightFormats="1" dataCaption="Values" tag="bfa8277e-ee40-4f59-8452-702830f6d88a" updatedVersion="8" minRefreshableVersion="3" showDrill="0" useAutoFormatting="1" subtotalHiddenItems="1" itemPrintTitles="1" createdVersion="8" indent="0" outline="1" outlineData="1" multipleFieldFilters="0" chartFormat="10">
  <location ref="B33:D54" firstHeaderRow="0" firstDataRow="1" firstDataCol="1"/>
  <pivotFields count="8">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defaultAttributeDrillState="1">
      <items count="2">
        <item s="1" x="0"/>
        <item x="1"/>
      </items>
    </pivotField>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s>
  <rowFields count="2">
    <field x="6"/>
    <field x="7"/>
  </rowFields>
  <rowItems count="21">
    <i>
      <x/>
    </i>
    <i r="1">
      <x/>
    </i>
    <i r="1">
      <x v="1"/>
    </i>
    <i r="1">
      <x v="2"/>
    </i>
    <i r="1">
      <x v="3"/>
    </i>
    <i>
      <x v="1"/>
    </i>
    <i r="1">
      <x/>
    </i>
    <i r="1">
      <x v="1"/>
    </i>
    <i r="1">
      <x v="2"/>
    </i>
    <i r="1">
      <x v="3"/>
    </i>
    <i>
      <x v="2"/>
    </i>
    <i r="1">
      <x/>
    </i>
    <i r="1">
      <x v="1"/>
    </i>
    <i r="1">
      <x v="2"/>
    </i>
    <i r="1">
      <x v="3"/>
    </i>
    <i>
      <x v="3"/>
    </i>
    <i r="1">
      <x/>
    </i>
    <i r="1">
      <x v="1"/>
    </i>
    <i r="1">
      <x v="2"/>
    </i>
    <i r="1">
      <x v="3"/>
    </i>
    <i t="grand">
      <x/>
    </i>
  </rowItems>
  <colFields count="1">
    <field x="-2"/>
  </colFields>
  <colItems count="2">
    <i>
      <x/>
    </i>
    <i i="1">
      <x v="1"/>
    </i>
  </colItems>
  <dataFields count="2">
    <dataField fld="4" subtotal="count" baseField="3" baseItem="0" numFmtId="165"/>
    <dataField name="Total Revenue" fld="5" subtotal="count" baseField="3" baseItem="0" numFmtId="165"/>
  </dataFields>
  <formats count="3">
    <format dxfId="27">
      <pivotArea outline="0" collapsedLevelsAreSubtotals="1" fieldPosition="0"/>
    </format>
    <format dxfId="26">
      <pivotArea outline="0" fieldPosition="0">
        <references count="1">
          <reference field="4294967294" count="1">
            <x v="0"/>
          </reference>
        </references>
      </pivotArea>
    </format>
    <format dxfId="25">
      <pivotArea outline="0" fieldPosition="0">
        <references count="1">
          <reference field="4294967294" count="1">
            <x v="1"/>
          </reference>
        </references>
      </pivotArea>
    </format>
  </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2">
    <filter fld="0" type="count" id="2" iMeasureHier="87">
      <autoFilter ref="A1">
        <filterColumn colId="0">
          <top10 val="10" filterVal="10"/>
        </filterColumn>
      </autoFilter>
    </filter>
    <filter fld="2" type="count" id="3" iMeasureHier="78">
      <autoFilter ref="A1">
        <filterColumn colId="0">
          <top10 val="10" filterVal="10"/>
        </filterColumn>
      </autoFilter>
    </filter>
  </filters>
  <rowHierarchiesUsage count="2">
    <rowHierarchyUsage hierarchyUsage="1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66A68958-9EE6-4BC9-9F91-AB19E337D4F8}" name="Top &amp; Bottom_10 Product Performance by Revenue" cacheId="52" applyNumberFormats="0" applyBorderFormats="0" applyFontFormats="0" applyPatternFormats="0" applyAlignmentFormats="0" applyWidthHeightFormats="1" dataCaption="Values" tag="063f4dfb-5c78-4ed7-a293-8cf7bfda48b9" updatedVersion="8" minRefreshableVersion="3" showDrill="0" useAutoFormatting="1" subtotalHiddenItems="1" rowGrandTotals="0" colGrandTotals="0" itemPrintTitles="1" createdVersion="8" indent="0" compact="0" compactData="0" multipleFieldFilters="0" chartFormat="16">
  <location ref="Q2:R382" firstHeaderRow="1" firstDataRow="1" firstDataCol="1"/>
  <pivotFields count="4">
    <pivotField compact="0" allDrilled="1" outline="0" showAll="0" dataSourceSort="1" defaultSubtotal="0" defaultAttributeDrillState="1"/>
    <pivotField compact="0" allDrilled="1" outline="0" showAll="0" dataSourceSort="1" defaultSubtotal="0" defaultAttributeDrillState="1">
      <items count="2">
        <item s="1" x="0"/>
        <item x="1"/>
      </items>
    </pivotField>
    <pivotField axis="axisRow" compact="0" allDrilled="1" outline="0" showAll="0" sortType="descending" defaultSubtotal="0" defaultAttributeDrillState="1">
      <items count="3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s>
      <autoSortScope>
        <pivotArea dataOnly="0" outline="0" fieldPosition="0">
          <references count="1">
            <reference field="4294967294" count="1" selected="0">
              <x v="0"/>
            </reference>
          </references>
        </pivotArea>
      </autoSortScope>
    </pivotField>
    <pivotField dataField="1" compact="0" outline="0" showAll="0" defaultSubtotal="0"/>
  </pivotFields>
  <rowFields count="1">
    <field x="2"/>
  </rowFields>
  <rowItems count="380">
    <i>
      <x v="220"/>
    </i>
    <i>
      <x v="321"/>
    </i>
    <i>
      <x v="41"/>
    </i>
    <i>
      <x v="201"/>
    </i>
    <i>
      <x v="325"/>
    </i>
    <i>
      <x v="102"/>
    </i>
    <i>
      <x v="225"/>
    </i>
    <i>
      <x v="60"/>
    </i>
    <i>
      <x v="42"/>
    </i>
    <i>
      <x v="205"/>
    </i>
    <i>
      <x v="299"/>
    </i>
    <i>
      <x v="175"/>
    </i>
    <i>
      <x v="215"/>
    </i>
    <i>
      <x v="63"/>
    </i>
    <i>
      <x v="173"/>
    </i>
    <i>
      <x v="217"/>
    </i>
    <i>
      <x v="16"/>
    </i>
    <i>
      <x v="222"/>
    </i>
    <i>
      <x v="38"/>
    </i>
    <i>
      <x v="28"/>
    </i>
    <i>
      <x v="229"/>
    </i>
    <i>
      <x v="39"/>
    </i>
    <i>
      <x v="228"/>
    </i>
    <i>
      <x v="234"/>
    </i>
    <i>
      <x v="20"/>
    </i>
    <i>
      <x v="238"/>
    </i>
    <i>
      <x v="190"/>
    </i>
    <i>
      <x v="171"/>
    </i>
    <i>
      <x v="182"/>
    </i>
    <i>
      <x v="192"/>
    </i>
    <i>
      <x v="219"/>
    </i>
    <i>
      <x v="216"/>
    </i>
    <i>
      <x v="191"/>
    </i>
    <i>
      <x v="290"/>
    </i>
    <i>
      <x v="327"/>
    </i>
    <i>
      <x v="40"/>
    </i>
    <i>
      <x v="18"/>
    </i>
    <i>
      <x v="187"/>
    </i>
    <i>
      <x v="236"/>
    </i>
    <i>
      <x v="237"/>
    </i>
    <i>
      <x v="210"/>
    </i>
    <i>
      <x v="263"/>
    </i>
    <i>
      <x v="17"/>
    </i>
    <i>
      <x v="58"/>
    </i>
    <i>
      <x v="62"/>
    </i>
    <i>
      <x v="304"/>
    </i>
    <i>
      <x v="209"/>
    </i>
    <i>
      <x v="183"/>
    </i>
    <i>
      <x v="101"/>
    </i>
    <i>
      <x v="257"/>
    </i>
    <i>
      <x v="30"/>
    </i>
    <i>
      <x v="319"/>
    </i>
    <i>
      <x v="174"/>
    </i>
    <i>
      <x v="239"/>
    </i>
    <i>
      <x v="25"/>
    </i>
    <i>
      <x v="59"/>
    </i>
    <i>
      <x v="298"/>
    </i>
    <i>
      <x v="204"/>
    </i>
    <i>
      <x v="291"/>
    </i>
    <i>
      <x v="240"/>
    </i>
    <i>
      <x v="168"/>
    </i>
    <i>
      <x v="270"/>
    </i>
    <i>
      <x v="235"/>
    </i>
    <i>
      <x v="332"/>
    </i>
    <i>
      <x v="294"/>
    </i>
    <i>
      <x v="351"/>
    </i>
    <i>
      <x v="49"/>
    </i>
    <i>
      <x v="48"/>
    </i>
    <i>
      <x v="167"/>
    </i>
    <i>
      <x v="172"/>
    </i>
    <i>
      <x v="241"/>
    </i>
    <i>
      <x v="256"/>
    </i>
    <i>
      <x v="166"/>
    </i>
    <i>
      <x v="314"/>
    </i>
    <i>
      <x v="43"/>
    </i>
    <i>
      <x v="61"/>
    </i>
    <i>
      <x v="44"/>
    </i>
    <i>
      <x v="359"/>
    </i>
    <i>
      <x v="26"/>
    </i>
    <i>
      <x v="184"/>
    </i>
    <i>
      <x v="211"/>
    </i>
    <i>
      <x v="331"/>
    </i>
    <i>
      <x v="312"/>
    </i>
    <i>
      <x v="195"/>
    </i>
    <i>
      <x v="316"/>
    </i>
    <i>
      <x v="283"/>
    </i>
    <i>
      <x v="313"/>
    </i>
    <i>
      <x v="142"/>
    </i>
    <i>
      <x v="261"/>
    </i>
    <i>
      <x v="144"/>
    </i>
    <i>
      <x v="307"/>
    </i>
    <i>
      <x v="233"/>
    </i>
    <i>
      <x v="163"/>
    </i>
    <i>
      <x v="33"/>
    </i>
    <i>
      <x v="186"/>
    </i>
    <i>
      <x v="224"/>
    </i>
    <i>
      <x v="27"/>
    </i>
    <i>
      <x v="323"/>
    </i>
    <i>
      <x v="199"/>
    </i>
    <i>
      <x v="208"/>
    </i>
    <i>
      <x v="262"/>
    </i>
    <i>
      <x v="32"/>
    </i>
    <i>
      <x v="358"/>
    </i>
    <i>
      <x v="37"/>
    </i>
    <i>
      <x v="295"/>
    </i>
    <i>
      <x v="203"/>
    </i>
    <i>
      <x v="297"/>
    </i>
    <i>
      <x v="5"/>
    </i>
    <i>
      <x v="196"/>
    </i>
    <i>
      <x v="343"/>
    </i>
    <i>
      <x v="258"/>
    </i>
    <i>
      <x v="259"/>
    </i>
    <i>
      <x v="322"/>
    </i>
    <i>
      <x v="362"/>
    </i>
    <i>
      <x v="212"/>
    </i>
    <i>
      <x v="35"/>
    </i>
    <i>
      <x v="180"/>
    </i>
    <i>
      <x v="202"/>
    </i>
    <i>
      <x v="301"/>
    </i>
    <i>
      <x v="311"/>
    </i>
    <i>
      <x v="337"/>
    </i>
    <i>
      <x v="24"/>
    </i>
    <i>
      <x v="281"/>
    </i>
    <i>
      <x v="342"/>
    </i>
    <i>
      <x v="292"/>
    </i>
    <i>
      <x v="317"/>
    </i>
    <i>
      <x v="302"/>
    </i>
    <i>
      <x v="34"/>
    </i>
    <i>
      <x v="179"/>
    </i>
    <i>
      <x v="185"/>
    </i>
    <i>
      <x v="194"/>
    </i>
    <i>
      <x v="36"/>
    </i>
    <i>
      <x v="189"/>
    </i>
    <i>
      <x v="223"/>
    </i>
    <i>
      <x v="93"/>
    </i>
    <i>
      <x v="315"/>
    </i>
    <i>
      <x v="252"/>
    </i>
    <i>
      <x v="99"/>
    </i>
    <i>
      <x v="255"/>
    </i>
    <i>
      <x v="97"/>
    </i>
    <i>
      <x v="230"/>
    </i>
    <i>
      <x v="267"/>
    </i>
    <i>
      <x v="207"/>
    </i>
    <i>
      <x v="218"/>
    </i>
    <i>
      <x v="55"/>
    </i>
    <i>
      <x v="357"/>
    </i>
    <i>
      <x v="193"/>
    </i>
    <i>
      <x v="260"/>
    </i>
    <i>
      <x v="45"/>
    </i>
    <i>
      <x v="115"/>
    </i>
    <i>
      <x v="340"/>
    </i>
    <i>
      <x v="56"/>
    </i>
    <i>
      <x v="177"/>
    </i>
    <i>
      <x v="169"/>
    </i>
    <i>
      <x v="338"/>
    </i>
    <i>
      <x v="284"/>
    </i>
    <i>
      <x v="269"/>
    </i>
    <i>
      <x v="251"/>
    </i>
    <i>
      <x v="367"/>
    </i>
    <i>
      <x v="232"/>
    </i>
    <i>
      <x v="296"/>
    </i>
    <i>
      <x v="117"/>
    </i>
    <i>
      <x v="213"/>
    </i>
    <i>
      <x v="271"/>
    </i>
    <i>
      <x v="226"/>
    </i>
    <i>
      <x v="52"/>
    </i>
    <i>
      <x v="242"/>
    </i>
    <i>
      <x v="214"/>
    </i>
    <i>
      <x v="118"/>
    </i>
    <i>
      <x v="245"/>
    </i>
    <i>
      <x v="306"/>
    </i>
    <i>
      <x v="96"/>
    </i>
    <i>
      <x v="73"/>
    </i>
    <i>
      <x v="22"/>
    </i>
    <i>
      <x v="176"/>
    </i>
    <i>
      <x v="309"/>
    </i>
    <i>
      <x v="336"/>
    </i>
    <i>
      <x v="249"/>
    </i>
    <i>
      <x v="248"/>
    </i>
    <i>
      <x v="21"/>
    </i>
    <i>
      <x v="341"/>
    </i>
    <i>
      <x v="365"/>
    </i>
    <i>
      <x v="29"/>
    </i>
    <i>
      <x v="104"/>
    </i>
    <i>
      <x v="360"/>
    </i>
    <i>
      <x v="188"/>
    </i>
    <i>
      <x v="227"/>
    </i>
    <i>
      <x v="250"/>
    </i>
    <i>
      <x v="344"/>
    </i>
    <i>
      <x v="282"/>
    </i>
    <i>
      <x v="320"/>
    </i>
    <i>
      <x v="198"/>
    </i>
    <i>
      <x v="326"/>
    </i>
    <i>
      <x v="157"/>
    </i>
    <i>
      <x v="333"/>
    </i>
    <i>
      <x v="231"/>
    </i>
    <i>
      <x v="19"/>
    </i>
    <i>
      <x v="46"/>
    </i>
    <i>
      <x v="9"/>
    </i>
    <i>
      <x v="170"/>
    </i>
    <i>
      <x v="197"/>
    </i>
    <i>
      <x v="334"/>
    </i>
    <i>
      <x v="247"/>
    </i>
    <i>
      <x v="136"/>
    </i>
    <i>
      <x v="178"/>
    </i>
    <i>
      <x v="361"/>
    </i>
    <i>
      <x v="335"/>
    </i>
    <i>
      <x v="50"/>
    </i>
    <i>
      <x v="47"/>
    </i>
    <i>
      <x v="305"/>
    </i>
    <i>
      <x v="329"/>
    </i>
    <i>
      <x v="95"/>
    </i>
    <i>
      <x v="293"/>
    </i>
    <i>
      <x v="280"/>
    </i>
    <i>
      <x v="243"/>
    </i>
    <i>
      <x v="158"/>
    </i>
    <i>
      <x v="94"/>
    </i>
    <i>
      <x v="221"/>
    </i>
    <i>
      <x v="53"/>
    </i>
    <i>
      <x v="328"/>
    </i>
    <i>
      <x v="68"/>
    </i>
    <i>
      <x v="300"/>
    </i>
    <i>
      <x v="72"/>
    </i>
    <i>
      <x v="253"/>
    </i>
    <i>
      <x v="113"/>
    </i>
    <i>
      <x/>
    </i>
    <i>
      <x v="119"/>
    </i>
    <i>
      <x v="308"/>
    </i>
    <i>
      <x v="371"/>
    </i>
    <i>
      <x v="254"/>
    </i>
    <i>
      <x v="31"/>
    </i>
    <i>
      <x v="64"/>
    </i>
    <i>
      <x v="86"/>
    </i>
    <i>
      <x v="75"/>
    </i>
    <i>
      <x v="244"/>
    </i>
    <i>
      <x v="324"/>
    </i>
    <i>
      <x v="1"/>
    </i>
    <i>
      <x v="246"/>
    </i>
    <i>
      <x v="91"/>
    </i>
    <i>
      <x v="368"/>
    </i>
    <i>
      <x v="364"/>
    </i>
    <i>
      <x v="347"/>
    </i>
    <i>
      <x v="143"/>
    </i>
    <i>
      <x v="200"/>
    </i>
    <i>
      <x v="76"/>
    </i>
    <i>
      <x v="7"/>
    </i>
    <i>
      <x v="349"/>
    </i>
    <i>
      <x v="100"/>
    </i>
    <i>
      <x v="159"/>
    </i>
    <i>
      <x v="310"/>
    </i>
    <i>
      <x v="355"/>
    </i>
    <i>
      <x v="285"/>
    </i>
    <i>
      <x v="15"/>
    </i>
    <i>
      <x v="345"/>
    </i>
    <i>
      <x v="114"/>
    </i>
    <i>
      <x v="151"/>
    </i>
    <i>
      <x v="2"/>
    </i>
    <i>
      <x v="122"/>
    </i>
    <i>
      <x v="348"/>
    </i>
    <i>
      <x v="152"/>
    </i>
    <i>
      <x v="116"/>
    </i>
    <i>
      <x v="268"/>
    </i>
    <i>
      <x v="71"/>
    </i>
    <i>
      <x v="120"/>
    </i>
    <i>
      <x v="339"/>
    </i>
    <i>
      <x v="346"/>
    </i>
    <i>
      <x v="149"/>
    </i>
    <i>
      <x v="154"/>
    </i>
    <i>
      <x v="372"/>
    </i>
    <i>
      <x v="67"/>
    </i>
    <i>
      <x v="80"/>
    </i>
    <i>
      <x v="377"/>
    </i>
    <i>
      <x v="11"/>
    </i>
    <i>
      <x v="140"/>
    </i>
    <i>
      <x v="375"/>
    </i>
    <i>
      <x v="124"/>
    </i>
    <i>
      <x v="206"/>
    </i>
    <i>
      <x v="146"/>
    </i>
    <i>
      <x v="148"/>
    </i>
    <i>
      <x v="264"/>
    </i>
    <i>
      <x v="273"/>
    </i>
    <i>
      <x v="288"/>
    </i>
    <i>
      <x v="330"/>
    </i>
    <i>
      <x v="12"/>
    </i>
    <i>
      <x v="89"/>
    </i>
    <i>
      <x v="4"/>
    </i>
    <i>
      <x v="88"/>
    </i>
    <i>
      <x v="350"/>
    </i>
    <i>
      <x v="181"/>
    </i>
    <i>
      <x v="112"/>
    </i>
    <i>
      <x v="84"/>
    </i>
    <i>
      <x v="57"/>
    </i>
    <i>
      <x v="70"/>
    </i>
    <i>
      <x v="130"/>
    </i>
    <i>
      <x v="366"/>
    </i>
    <i>
      <x v="134"/>
    </i>
    <i>
      <x v="275"/>
    </i>
    <i>
      <x v="147"/>
    </i>
    <i>
      <x v="90"/>
    </i>
    <i>
      <x v="363"/>
    </i>
    <i>
      <x v="81"/>
    </i>
    <i>
      <x v="287"/>
    </i>
    <i>
      <x v="141"/>
    </i>
    <i>
      <x v="77"/>
    </i>
    <i>
      <x v="378"/>
    </i>
    <i>
      <x v="165"/>
    </i>
    <i>
      <x v="85"/>
    </i>
    <i>
      <x v="128"/>
    </i>
    <i>
      <x v="92"/>
    </i>
    <i>
      <x v="111"/>
    </i>
    <i>
      <x v="374"/>
    </i>
    <i>
      <x v="14"/>
    </i>
    <i>
      <x v="126"/>
    </i>
    <i>
      <x v="139"/>
    </i>
    <i>
      <x v="278"/>
    </i>
    <i>
      <x v="274"/>
    </i>
    <i>
      <x v="289"/>
    </i>
    <i>
      <x v="129"/>
    </i>
    <i>
      <x v="376"/>
    </i>
    <i>
      <x v="370"/>
    </i>
    <i>
      <x v="83"/>
    </i>
    <i>
      <x v="356"/>
    </i>
    <i>
      <x v="109"/>
    </i>
    <i>
      <x v="65"/>
    </i>
    <i>
      <x v="23"/>
    </i>
    <i>
      <x v="66"/>
    </i>
    <i>
      <x v="108"/>
    </i>
    <i>
      <x v="106"/>
    </i>
    <i>
      <x v="82"/>
    </i>
    <i>
      <x v="98"/>
    </i>
    <i>
      <x v="6"/>
    </i>
    <i>
      <x v="127"/>
    </i>
    <i>
      <x v="51"/>
    </i>
    <i>
      <x v="79"/>
    </i>
    <i>
      <x v="145"/>
    </i>
    <i>
      <x v="266"/>
    </i>
    <i>
      <x v="87"/>
    </i>
    <i>
      <x v="133"/>
    </i>
    <i>
      <x v="74"/>
    </i>
    <i>
      <x v="123"/>
    </i>
    <i>
      <x v="3"/>
    </i>
    <i>
      <x v="265"/>
    </i>
    <i>
      <x v="162"/>
    </i>
    <i>
      <x v="121"/>
    </i>
    <i>
      <x v="153"/>
    </i>
    <i>
      <x v="78"/>
    </i>
    <i>
      <x v="8"/>
    </i>
    <i>
      <x v="125"/>
    </i>
    <i>
      <x v="369"/>
    </i>
    <i>
      <x v="54"/>
    </i>
    <i>
      <x v="10"/>
    </i>
    <i>
      <x v="379"/>
    </i>
    <i>
      <x v="272"/>
    </i>
    <i>
      <x v="279"/>
    </i>
    <i>
      <x v="303"/>
    </i>
    <i>
      <x v="161"/>
    </i>
    <i>
      <x v="107"/>
    </i>
    <i>
      <x v="354"/>
    </i>
    <i>
      <x v="156"/>
    </i>
    <i>
      <x v="352"/>
    </i>
    <i>
      <x v="373"/>
    </i>
    <i>
      <x v="160"/>
    </i>
    <i>
      <x v="277"/>
    </i>
    <i>
      <x v="155"/>
    </i>
    <i>
      <x v="150"/>
    </i>
    <i>
      <x v="131"/>
    </i>
    <i>
      <x v="13"/>
    </i>
    <i>
      <x v="132"/>
    </i>
    <i>
      <x v="276"/>
    </i>
    <i>
      <x v="353"/>
    </i>
    <i>
      <x v="164"/>
    </i>
    <i>
      <x v="103"/>
    </i>
    <i>
      <x v="137"/>
    </i>
    <i>
      <x v="135"/>
    </i>
    <i>
      <x v="105"/>
    </i>
    <i>
      <x v="69"/>
    </i>
    <i>
      <x v="318"/>
    </i>
    <i>
      <x v="138"/>
    </i>
    <i>
      <x v="110"/>
    </i>
    <i>
      <x v="286"/>
    </i>
  </rowItems>
  <colItems count="1">
    <i/>
  </colItems>
  <dataFields count="1">
    <dataField fld="3" subtotal="count" baseField="2" baseItem="0" numFmtId="165"/>
  </dataFields>
  <formats count="2">
    <format dxfId="29">
      <pivotArea outline="0" collapsedLevelsAreSubtotals="1" fieldPosition="0"/>
    </format>
    <format dxfId="28">
      <pivotArea outline="0" fieldPosition="0">
        <references count="1">
          <reference field="4294967294" count="1">
            <x v="0"/>
          </reference>
        </references>
      </pivotArea>
    </format>
  </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74E52D7B-7130-4509-B366-499279120D1B}" name="#Number of Customers" cacheId="43" applyNumberFormats="0" applyBorderFormats="0" applyFontFormats="0" applyPatternFormats="0" applyAlignmentFormats="0" applyWidthHeightFormats="1" dataCaption="Values" tag="d8d320c5-b445-494c-8eb9-405e79d6727a" updatedVersion="8" minRefreshableVersion="3" showDrill="0" useAutoFormatting="1" subtotalHiddenItems="1" itemPrintTitles="1" createdVersion="8" indent="0" outline="1" outlineData="1" multipleFieldFilters="0" chartFormat="11">
  <location ref="J10:K27" firstHeaderRow="1" firstDataRow="1" firstDataCol="1"/>
  <pivotFields count="5">
    <pivotField allDrilled="1" subtotalTop="0" showAll="0" measureFilter="1" defaultSubtotal="0" defaultAttributeDrillState="1">
      <items count="20">
        <item x="0"/>
        <item x="1"/>
        <item x="2"/>
        <item x="3"/>
        <item x="4"/>
        <item x="5"/>
        <item x="6"/>
        <item x="7"/>
        <item x="8"/>
        <item x="9"/>
        <item x="10"/>
        <item x="11"/>
        <item x="12"/>
        <item x="13"/>
        <item x="14"/>
        <item x="15"/>
        <item x="16"/>
        <item x="17"/>
        <item x="18"/>
        <item x="19"/>
      </items>
    </pivotField>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dataField="1" subtotalTop="0" showAll="0" defaultSubtotal="0"/>
    <pivotField axis="axisRow" allDrilled="1" subtotalTop="0" showAll="0" dataSourceSort="1" defaultSubtotal="0" defaultAttributeDrillState="1">
      <items count="3">
        <item x="0"/>
        <item x="1"/>
        <item x="2"/>
      </items>
    </pivotField>
  </pivotFields>
  <rowFields count="2">
    <field x="2"/>
    <field x="4"/>
  </rowFields>
  <rowItems count="17">
    <i>
      <x/>
    </i>
    <i r="1">
      <x/>
    </i>
    <i r="1">
      <x v="1"/>
    </i>
    <i r="1">
      <x v="2"/>
    </i>
    <i>
      <x v="1"/>
    </i>
    <i r="1">
      <x/>
    </i>
    <i r="1">
      <x v="1"/>
    </i>
    <i r="1">
      <x v="2"/>
    </i>
    <i>
      <x v="2"/>
    </i>
    <i r="1">
      <x/>
    </i>
    <i r="1">
      <x v="1"/>
    </i>
    <i r="1">
      <x v="2"/>
    </i>
    <i>
      <x v="3"/>
    </i>
    <i r="1">
      <x/>
    </i>
    <i r="1">
      <x v="1"/>
    </i>
    <i r="1">
      <x v="2"/>
    </i>
    <i t="grand">
      <x/>
    </i>
  </rowItems>
  <colItems count="1">
    <i/>
  </colItems>
  <dataFields count="1">
    <dataField fld="3" subtotal="count" baseField="2" baseItem="0" numFmtId="171"/>
  </dataFields>
  <formats count="2">
    <format dxfId="31">
      <pivotArea outline="0" collapsedLevelsAreSubtotals="1" fieldPosition="0"/>
    </format>
    <format dxfId="30">
      <pivotArea outline="0" fieldPosition="0">
        <references count="1">
          <reference field="4294967294" count="1">
            <x v="0"/>
          </reference>
        </references>
      </pivotArea>
    </format>
  </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0" type="count" id="3" iMeasureHier="78">
      <autoFilter ref="A1">
        <filterColumn colId="0">
          <top10 top="0" val="10" filterVal="10"/>
        </filterColumn>
      </autoFilter>
    </filter>
  </filters>
  <rowHierarchiesUsage count="2">
    <rowHierarchyUsage hierarchyUsage="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activeTabTopLevelEntity name="[Returns]"/>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839582F4-3E95-464E-AEE8-D70B3A0995AA}" name=" Profit by Quarter" cacheId="58" applyNumberFormats="0" applyBorderFormats="0" applyFontFormats="0" applyPatternFormats="0" applyAlignmentFormats="0" applyWidthHeightFormats="1" dataCaption="Values" tag="bfa8277e-ee40-4f59-8452-702830f6d88a" updatedVersion="8" minRefreshableVersion="3" useAutoFormatting="1" subtotalHiddenItems="1" rowGrandTotals="0" colGrandTotals="0" itemPrintTitles="1" createdVersion="8" indent="0" compact="0" outline="1" outlineData="1" compactData="0" multipleFieldFilters="0" chartFormat="17">
  <location ref="BJ2:BL22" firstHeaderRow="1" firstDataRow="1" firstDataCol="2"/>
  <pivotFields count="6">
    <pivotField compact="0" allDrilled="1" showAll="0" measureFilter="1" defaultSubtotal="0" defaultAttributeDrillState="1">
      <items count="10">
        <item x="0"/>
        <item x="1"/>
        <item x="2"/>
        <item x="3"/>
        <item x="4"/>
        <item x="5"/>
        <item x="6"/>
        <item x="7"/>
        <item x="8"/>
        <item x="9"/>
      </items>
    </pivotField>
    <pivotField compact="0" allDrilled="1" showAll="0" dataSourceSort="1" defaultSubtotal="0" defaultAttributeDrillState="1"/>
    <pivotField compact="0" allDrilled="1" showAll="0" measureFilter="1" defaultSubtotal="0" defaultAttributeDrillState="1">
      <items count="10">
        <item x="0"/>
        <item x="1"/>
        <item x="2"/>
        <item x="3"/>
        <item x="4"/>
        <item x="5"/>
        <item x="6"/>
        <item x="7"/>
        <item x="8"/>
        <item x="9"/>
      </items>
    </pivotField>
    <pivotField axis="axisRow" compact="0" allDrilled="1" showAll="0" dataSourceSort="1" defaultSubtotal="0" defaultAttributeDrillState="1">
      <items count="4">
        <item x="0"/>
        <item x="1"/>
        <item x="2"/>
        <item x="3"/>
      </items>
    </pivotField>
    <pivotField dataField="1" compact="0" showAll="0" defaultSubtotal="0"/>
    <pivotField axis="axisRow" compact="0" allDrilled="1" subtotalTop="0" showAll="0" dataSourceSort="1" defaultSubtotal="0" defaultAttributeDrillState="1">
      <items count="4">
        <item n="Q1" x="0"/>
        <item n="Q2" x="1"/>
        <item n="Q3" x="2"/>
        <item n="Q4" x="3"/>
      </items>
    </pivotField>
  </pivotFields>
  <rowFields count="2">
    <field x="3"/>
    <field x="5"/>
  </rowFields>
  <rowItems count="20">
    <i>
      <x/>
    </i>
    <i r="1">
      <x/>
    </i>
    <i r="1">
      <x v="1"/>
    </i>
    <i r="1">
      <x v="2"/>
    </i>
    <i r="1">
      <x v="3"/>
    </i>
    <i>
      <x v="1"/>
    </i>
    <i r="1">
      <x/>
    </i>
    <i r="1">
      <x v="1"/>
    </i>
    <i r="1">
      <x v="2"/>
    </i>
    <i r="1">
      <x v="3"/>
    </i>
    <i>
      <x v="2"/>
    </i>
    <i r="1">
      <x/>
    </i>
    <i r="1">
      <x v="1"/>
    </i>
    <i r="1">
      <x v="2"/>
    </i>
    <i r="1">
      <x v="3"/>
    </i>
    <i>
      <x v="3"/>
    </i>
    <i r="1">
      <x/>
    </i>
    <i r="1">
      <x v="1"/>
    </i>
    <i r="1">
      <x v="2"/>
    </i>
    <i r="1">
      <x v="3"/>
    </i>
  </rowItems>
  <colItems count="1">
    <i/>
  </colItems>
  <dataFields count="1">
    <dataField fld="4" subtotal="count" baseField="3" baseItem="0" numFmtId="165"/>
  </dataFields>
  <formats count="2">
    <format dxfId="33">
      <pivotArea outline="0" collapsedLevelsAreSubtotals="1" fieldPosition="0"/>
    </format>
    <format dxfId="32">
      <pivotArea outline="0" fieldPosition="0">
        <references count="1">
          <reference field="4294967294" count="1">
            <x v="0"/>
          </reference>
        </references>
      </pivotArea>
    </format>
  </formats>
  <chartFormats count="1">
    <chartFormat chart="14" format="2" series="1">
      <pivotArea type="data" outline="0" fieldPosition="0">
        <references count="1">
          <reference field="4294967294" count="1" selected="0">
            <x v="0"/>
          </reference>
        </references>
      </pivotArea>
    </chartFormat>
  </chartFormats>
  <pivotHierarchies count="99">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View].[View].&amp;[Profi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2">
    <filter fld="0" type="count" id="2" iMeasureHier="87">
      <autoFilter ref="A1">
        <filterColumn colId="0">
          <top10 val="10" filterVal="10"/>
        </filterColumn>
      </autoFilter>
    </filter>
    <filter fld="2" type="count" id="3" iMeasureHier="78">
      <autoFilter ref="A1">
        <filterColumn colId="0">
          <top10 val="10" filterVal="10"/>
        </filterColumn>
      </autoFilter>
    </filter>
  </filters>
  <rowHierarchiesUsage count="2">
    <rowHierarchyUsage hierarchyUsage="8"/>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er_Store_data]"/>
        <x15:activeTabTopLevelEntity name="[Calendar]"/>
        <x15:activeTabTopLevelEntity name="[View]"/>
        <x15:activeTabTopLevelEntity name="[Peop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B092FDFF-00E3-4D4D-A3A6-46CC466BD4E0}" sourceName="[Calendar].[Date (Year)]">
  <pivotTables>
    <pivotTable tabId="5" name="Shipping Duration"/>
    <pivotTable tabId="5" name="Highest Profit by States"/>
    <pivotTable tabId="5" name="Lowest Profit by States"/>
    <pivotTable tabId="5" name="PivotTable1"/>
    <pivotTable tabId="5" name="PivotTable2"/>
    <pivotTable tabId="5" name="Revenue by Segment"/>
    <pivotTable tabId="5" name="Shipping Mode"/>
    <pivotTable tabId="5" name="Total Profit &amp; %YOY"/>
    <pivotTable tabId="5" name="Total Quantity &amp; %YOY"/>
    <pivotTable tabId="5" name="Total Revenue"/>
  </pivotTables>
  <data>
    <olap pivotCacheId="1832137989">
      <levels count="2">
        <level uniqueName="[Calendar].[Date (Year)].[(All)]" sourceCaption="(All)" count="0"/>
        <level uniqueName="[Calendar].[Date (Year)].[Date (Year)]" sourceCaption="Date (Year)" count="4">
          <ranges>
            <range startItem="0">
              <i n="[Calendar].[Date (Year)].&amp;[2014]" c="2014"/>
              <i n="[Calendar].[Date (Year)].&amp;[2015]" c="2015"/>
              <i n="[Calendar].[Date (Year)].&amp;[2016]" c="2016"/>
              <i n="[Calendar].[Date (Year)].&amp;[2017]" c="2017"/>
            </range>
          </ranges>
        </level>
      </levels>
      <selections count="1">
        <selection n="[Calendar].[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BDD9EDB-3C4C-4C1D-8269-C393FF638768}" sourceName="[Super_Store_data].[Region]">
  <pivotTables>
    <pivotTable tabId="5" name="Sales Monthly Trend"/>
    <pivotTable tabId="5" name="Shipping Duration"/>
    <pivotTable tabId="5" name="Shipping Mode"/>
    <pivotTable tabId="5" name="Highest Profit by States"/>
    <pivotTable tabId="5" name="Lowest Profit by States"/>
    <pivotTable tabId="5" name="Revenue by Segment"/>
    <pivotTable tabId="5" name="Total Revenue"/>
    <pivotTable tabId="5" name="Total Profit &amp; %YOY"/>
    <pivotTable tabId="5" name="Total Quantity &amp; %YOY"/>
    <pivotTable tabId="5" name="Total Discount &amp; %YOY"/>
    <pivotTable tabId="5" name="Total Cost &amp; %YOY"/>
    <pivotTable tabId="5" name="PivotTable1"/>
    <pivotTable tabId="5" name="PivotTable2"/>
  </pivotTables>
  <data>
    <olap pivotCacheId="1832137989">
      <levels count="2">
        <level uniqueName="[Super_Store_data].[Region].[(All)]" sourceCaption="(All)" count="0"/>
        <level uniqueName="[Super_Store_data].[Region].[Region]" sourceCaption="Region" count="4">
          <ranges>
            <range startItem="0">
              <i n="[Super_Store_data].[Region].&amp;[Central]" c="Central"/>
              <i n="[Super_Store_data].[Region].&amp;[East]" c="East"/>
              <i n="[Super_Store_data].[Region].&amp;[South]" c="South"/>
              <i n="[Super_Store_data].[Region].&amp;[West]" c="West"/>
            </range>
          </ranges>
        </level>
      </levels>
      <selections count="1">
        <selection n="[Super_Store_data].[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ew" xr10:uid="{C557B88C-39E9-4915-AB25-E024A25B2C65}" sourceName="[View].[View]">
  <pivotTables>
    <pivotTable tabId="11" name="# Number of Orders"/>
    <pivotTable tabId="11" name="Rating by Cities "/>
    <pivotTable tabId="11" name="Profitability Rate"/>
    <pivotTable tabId="11" name="#Number of Cities "/>
    <pivotTable tabId="11" name="#Number of Customers"/>
    <pivotTable tabId="11" name="Profit by segement"/>
    <pivotTable tabId="11" name="PivotTable1"/>
    <pivotTable tabId="11" name="Top &amp; Bottom_10 Product Performance by Revenue"/>
    <pivotTable tabId="11" name="Top_10 Product Permance Measures"/>
    <pivotTable tabId="11" name=" Profit by Quarter"/>
    <pivotTable tabId="11" name="PivotTable3"/>
  </pivotTables>
  <data>
    <olap pivotCacheId="759866759">
      <levels count="2">
        <level uniqueName="[View].[View].[(All)]" sourceCaption="(All)" count="0"/>
        <level uniqueName="[View].[View].[View]" sourceCaption="View" count="4" sortOrder="descending">
          <ranges>
            <range startItem="0">
              <i n="[View].[View].&amp;[Revenue]" c="Revenue"/>
              <i n="[View].[View].&amp;[Quantity Sold]" c="Quantity Sold"/>
              <i n="[View].[View].&amp;[Profit]" c="Profit"/>
              <i n="[View].[View].&amp;[Cost]" c="Cost"/>
            </range>
          </ranges>
        </level>
      </levels>
      <selections count="1">
        <selection n="[View].[View].&amp;[Profit]"/>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son" xr10:uid="{EA81D13F-0E88-46C5-9096-9A0B1BA0C704}" sourceName="[People].[Person]">
  <pivotTables>
    <pivotTable tabId="11" name="Profitability Rate"/>
    <pivotTable tabId="11" name="# Number of Orders"/>
    <pivotTable tabId="11" name="#Number of Cities "/>
    <pivotTable tabId="11" name="#Number of Customers"/>
    <pivotTable tabId="11" name="Profit by segement"/>
    <pivotTable tabId="11" name="PivotTable1"/>
    <pivotTable tabId="11" name="Top &amp; Bottom_10 Product Performance by Revenue"/>
    <pivotTable tabId="11" name="Top_10 Product Permance Measures"/>
    <pivotTable tabId="11" name=" Profit by Quarter"/>
  </pivotTables>
  <data>
    <olap pivotCacheId="759866759">
      <levels count="2">
        <level uniqueName="[People].[Person].[(All)]" sourceCaption="(All)" count="0"/>
        <level uniqueName="[People].[Person].[Person]" sourceCaption="Person" count="4">
          <ranges>
            <range startItem="0">
              <i n="[People].[Person].&amp;[Anna Andreadi]" c="Anna Andreadi"/>
              <i n="[People].[Person].&amp;[Cassandra Brandow]" c="Cassandra Brandow"/>
              <i n="[People].[Person].&amp;[Chuck Magee]" c="Chuck Magee"/>
              <i n="[People].[Person].&amp;[Kelly Williams]" c="Kelly Williams"/>
            </range>
          </ranges>
        </level>
      </levels>
      <selections count="1">
        <selection n="[People].[Person].[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3C57332-9CF5-4929-ABF3-A6B9B3BF86F9}" sourceName="[Calendar].[Year]">
  <pivotTables>
    <pivotTable tabId="11" name="Profitability Rate"/>
    <pivotTable tabId="11" name="# Number of Orders"/>
    <pivotTable tabId="11" name="#Number of Cities "/>
    <pivotTable tabId="11" name="#Number of Customers"/>
    <pivotTable tabId="11" name="Profit by segement"/>
    <pivotTable tabId="11" name="PivotTable1"/>
    <pivotTable tabId="11" name="Top &amp; Bottom_10 Product Performance by Revenue"/>
    <pivotTable tabId="11" name="Top_10 Product Permance Measures"/>
    <pivotTable tabId="11" name=" Profit by Quarter"/>
  </pivotTables>
  <data>
    <olap pivotCacheId="759866759">
      <levels count="2">
        <level uniqueName="[Calendar].[Year].[(All)]" sourceCaption="(All)" count="0"/>
        <level uniqueName="[Calendar].[Year].[Year]" sourceCaption="Year" count="4">
          <ranges>
            <range startItem="0">
              <i n="[Calendar].[Year].&amp;[2014]" c="2014"/>
              <i n="[Calendar].[Year].&amp;[2015]" c="2015"/>
              <i n="[Calendar].[Year].&amp;[2016]" c="2016"/>
              <i n="[Calendar].[Year].&amp;[2017]" c="2017"/>
            </range>
          </ranges>
        </level>
      </levels>
      <selections count="1">
        <selection n="[Calendar].[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Year)" xr10:uid="{B2904758-DD2B-4BFA-9169-B982084A8466}" cache="Slicer_Date__Year" caption="Date " columnCount="4" showCaption="0" level="1" style="Slicer Style 4" rowHeight="216000"/>
  <slicer name="Region 1" xr10:uid="{A4E10C9E-D4B8-4EE6-985D-937A1414B62F}" cache="Slicer_Region1" caption="Region" columnCount="4" showCaption="0" level="1" style="Slicer Style 4"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iew" xr10:uid="{04051037-5043-4DB2-A88C-249C508F91A3}" cache="Slicer_View" caption="View" columnCount="4" showCaption="0" level="1" style="Slicer Style 4" rowHeight="144000"/>
  <slicer name="Person" xr10:uid="{58FB93B0-8578-40C7-B91C-CCC2CF1B12BC}" cache="Slicer_Person" caption="Person" columnCount="4" showCaption="0" level="1" style="Slicer Style 4" rowHeight="144000"/>
  <slicer name="Year" xr10:uid="{27560EAA-B957-4331-8E13-CFC836A52372}" cache="Slicer_Year" caption="Year" columnCount="4" showCaption="0" level="1" style="Slicer Style 4"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C03C339-C9EE-4EA5-A588-FFA6854D1CDC}" name="View" displayName="View" ref="K1:K5" totalsRowShown="0" headerRowDxfId="3" dataDxfId="2" tableBorderDxfId="1">
  <autoFilter ref="K1:K5" xr:uid="{BC03C339-C9EE-4EA5-A588-FFA6854D1CDC}"/>
  <tableColumns count="1">
    <tableColumn id="1" xr3:uid="{05AFAFA3-29FD-4EF5-83EF-96E2CDC05918}" name="View"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9">
    <wetp:webextensionref xmlns:r="http://schemas.openxmlformats.org/officeDocument/2006/relationships" r:id="rId1"/>
  </wetp:taskpane>
  <wetp:taskpane dockstate="right" visibility="0" width="525" row="9">
    <wetp:webextensionref xmlns:r="http://schemas.openxmlformats.org/officeDocument/2006/relationships" r:id="rId2"/>
  </wetp:taskpane>
</wetp:taskpanes>
</file>

<file path=xl/webextensions/webextension1.xml><?xml version="1.0" encoding="utf-8"?>
<we:webextension xmlns:we="http://schemas.microsoft.com/office/webextensions/webextension/2010/11" id="{501AF18F-79F9-4F4C-A544-67933FE23E14}">
  <we:reference id="wa200005271" version="2.5.5.0" store="en-U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2.xml><?xml version="1.0" encoding="utf-8"?>
<we:webextension xmlns:we="http://schemas.microsoft.com/office/webextensions/webextension/2010/11" id="{C303F05B-9E63-4E5A-A80E-84A562C7F30A}">
  <we:reference id="wa200005069" version="1.0.0.3" store="en-US" storeType="OMEX"/>
  <we:alternateReferences>
    <we:reference id="WA200005069" version="1.0.0.3" store="WA200005069" storeType="OMEX"/>
  </we:alternateReferences>
  <we:properties>
    <we:property name="Office.AutoShowTaskpaneWithDocument" value="true"/>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microsoft.com/office/2007/relationships/slicer" Target="../slicers/slicer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ivotTable" Target="../pivotTables/pivotTable1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23.xml"/><Relationship Id="rId13" Type="http://schemas.openxmlformats.org/officeDocument/2006/relationships/drawing" Target="../drawings/drawing4.xml"/><Relationship Id="rId3" Type="http://schemas.openxmlformats.org/officeDocument/2006/relationships/pivotTable" Target="../pivotTables/pivotTable18.xml"/><Relationship Id="rId7" Type="http://schemas.openxmlformats.org/officeDocument/2006/relationships/pivotTable" Target="../pivotTables/pivotTable22.xml"/><Relationship Id="rId12" Type="http://schemas.openxmlformats.org/officeDocument/2006/relationships/printerSettings" Target="../printerSettings/printerSettings4.bin"/><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pivotTable" Target="../pivotTables/pivotTable21.xml"/><Relationship Id="rId11" Type="http://schemas.openxmlformats.org/officeDocument/2006/relationships/pivotTable" Target="../pivotTables/pivotTable26.xml"/><Relationship Id="rId5" Type="http://schemas.openxmlformats.org/officeDocument/2006/relationships/pivotTable" Target="../pivotTables/pivotTable20.xml"/><Relationship Id="rId10" Type="http://schemas.openxmlformats.org/officeDocument/2006/relationships/pivotTable" Target="../pivotTables/pivotTable25.xml"/><Relationship Id="rId4" Type="http://schemas.openxmlformats.org/officeDocument/2006/relationships/pivotTable" Target="../pivotTables/pivotTable19.xml"/><Relationship Id="rId9" Type="http://schemas.openxmlformats.org/officeDocument/2006/relationships/pivotTable" Target="../pivotTables/pivotTable24.xml"/><Relationship Id="rId1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54400-6D6A-4B1D-8001-2444AF88BFE8}">
  <sheetPr codeName="Sheet1">
    <tabColor theme="5" tint="-0.249977111117893"/>
  </sheetPr>
  <dimension ref="J1:W8"/>
  <sheetViews>
    <sheetView showGridLines="0" showRowColHeaders="0" tabSelected="1" zoomScaleNormal="100" workbookViewId="0"/>
  </sheetViews>
  <sheetFormatPr defaultRowHeight="14.5" x14ac:dyDescent="0.35"/>
  <cols>
    <col min="1" max="1" width="1" style="3" customWidth="1"/>
    <col min="2" max="5" width="8.7265625" style="3"/>
    <col min="6" max="6" width="8.7265625" style="3" customWidth="1"/>
    <col min="7" max="19" width="8.7265625" style="3"/>
    <col min="20" max="20" width="9.453125" style="3" customWidth="1"/>
    <col min="21" max="21" width="14" style="3" bestFit="1" customWidth="1"/>
    <col min="22" max="22" width="8.54296875" style="3" customWidth="1"/>
    <col min="23" max="16384" width="8.7265625" style="3"/>
  </cols>
  <sheetData>
    <row r="1" spans="10:23" x14ac:dyDescent="0.35">
      <c r="J1" s="2"/>
    </row>
    <row r="2" spans="10:23" x14ac:dyDescent="0.35">
      <c r="U2" s="4"/>
    </row>
    <row r="3" spans="10:23" x14ac:dyDescent="0.35">
      <c r="V3" s="5" cm="1">
        <f t="array" ref="V3:V7">Pivot_Tables!$L$19:$L$23</f>
        <v>157192.85310000001</v>
      </c>
      <c r="W3" s="6">
        <f>Pivot_Tables!$J$19</f>
        <v>8.4770927158646717E-2</v>
      </c>
    </row>
    <row r="4" spans="10:23" x14ac:dyDescent="0.35">
      <c r="V4" s="7">
        <v>170518.23699999999</v>
      </c>
      <c r="W4" s="8">
        <f>Pivot_Tables!$K$29</f>
        <v>0.17158204331405505</v>
      </c>
    </row>
    <row r="5" spans="10:23" x14ac:dyDescent="0.35">
      <c r="V5" s="7">
        <v>198901.43599999999</v>
      </c>
      <c r="W5" s="8">
        <f>Pivot_Tables!$K$60</f>
        <v>0.10391731136620538</v>
      </c>
    </row>
    <row r="6" spans="10:23" x14ac:dyDescent="0.35">
      <c r="V6" s="7">
        <v>215387.26920000001</v>
      </c>
      <c r="W6" s="8">
        <f>Pivot_Tables!$K$39</f>
        <v>9.3653727664818234E-2</v>
      </c>
    </row>
    <row r="7" spans="10:23" x14ac:dyDescent="0.35">
      <c r="V7" s="7">
        <v>741999.7953</v>
      </c>
      <c r="W7" s="8">
        <f>Pivot_Tables!$K$49</f>
        <v>-4.8265066527532121E-3</v>
      </c>
    </row>
    <row r="8" spans="10:23" x14ac:dyDescent="0.35">
      <c r="U8" s="1"/>
    </row>
  </sheetData>
  <sheetProtection algorithmName="SHA-512" hashValue="kEzQ5paFakoQ0O2qjHGNsf5+2KuG+AEHx4fz1ZMieGv3UaiK79wDKw/AbRscFK+jjtZLM59Qo2EAk3DckSwISA==" saltValue="AuytF0vavZkX4miPBz8asQ==" spinCount="100000" scenarios="1" selectLockedCells="1" autoFilter="0" pivotTables="0"/>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7" id="{97AD0776-9DA2-4329-86D8-73B8BFAB8F65}">
            <x14:iconSet iconSet="3Triangles">
              <x14:cfvo type="percent">
                <xm:f>0</xm:f>
              </x14:cfvo>
              <x14:cfvo type="percent">
                <xm:f>33</xm:f>
              </x14:cfvo>
              <x14:cfvo type="percent">
                <xm:f>67</xm:f>
              </x14:cfvo>
            </x14:iconSet>
          </x14:cfRule>
          <xm:sqref>J1</xm:sqref>
        </x14:conditionalFormatting>
        <x14:conditionalFormatting xmlns:xm="http://schemas.microsoft.com/office/excel/2006/main">
          <x14:cfRule type="expression" priority="4" id="{932F3C1C-BD36-487E-9775-63F2CC8F8937}">
            <xm:f>Pivot_Tables!$K$29</xm:f>
            <x14:dxf>
              <numFmt numFmtId="167" formatCode="0.0%"/>
            </x14:dxf>
          </x14:cfRule>
          <x14:cfRule type="iconSet" priority="6" id="{DB8D0B86-21D0-4502-B588-2EF46934274F}">
            <x14:iconSet iconSet="3Triangles">
              <x14:cfvo type="percent">
                <xm:f>0</xm:f>
              </x14:cfvo>
              <x14:cfvo type="percent">
                <xm:f>33</xm:f>
              </x14:cfvo>
              <x14:cfvo type="percent">
                <xm:f>67</xm:f>
              </x14:cfvo>
            </x14:iconSet>
          </x14:cfRule>
          <xm:sqref>W4</xm:sqref>
        </x14:conditionalFormatting>
        <x14:conditionalFormatting xmlns:xm="http://schemas.microsoft.com/office/excel/2006/main">
          <x14:cfRule type="iconSet" priority="3" id="{F4796D31-25C4-45DB-BDF5-238253F9C598}">
            <x14:iconSet iconSet="3Triangles">
              <x14:cfvo type="percent">
                <xm:f>0</xm:f>
              </x14:cfvo>
              <x14:cfvo type="percent">
                <xm:f>33</xm:f>
              </x14:cfvo>
              <x14:cfvo type="percent">
                <xm:f>67</xm:f>
              </x14:cfvo>
            </x14:iconSet>
          </x14:cfRule>
          <xm:sqref>W5</xm:sqref>
        </x14:conditionalFormatting>
        <x14:conditionalFormatting xmlns:xm="http://schemas.microsoft.com/office/excel/2006/main">
          <x14:cfRule type="iconSet" priority="2" id="{176DEE7E-A24D-4E81-A3CC-7BFE4C4F74BE}">
            <x14:iconSet iconSet="3Triangles">
              <x14:cfvo type="percent">
                <xm:f>0</xm:f>
              </x14:cfvo>
              <x14:cfvo type="percent">
                <xm:f>33</xm:f>
              </x14:cfvo>
              <x14:cfvo type="percent">
                <xm:f>67</xm:f>
              </x14:cfvo>
            </x14:iconSet>
          </x14:cfRule>
          <xm:sqref>W6</xm:sqref>
        </x14:conditionalFormatting>
        <x14:conditionalFormatting xmlns:xm="http://schemas.microsoft.com/office/excel/2006/main">
          <x14:cfRule type="iconSet" priority="1" id="{6422D635-231A-47CA-AF16-A60F256C85A0}">
            <x14:iconSet iconSet="3Triangles">
              <x14:cfvo type="percent">
                <xm:f>0</xm:f>
              </x14:cfvo>
              <x14:cfvo type="percent">
                <xm:f>33</xm:f>
              </x14:cfvo>
              <x14:cfvo type="percent">
                <xm:f>67</xm:f>
              </x14:cfvo>
            </x14:iconSet>
          </x14:cfRule>
          <xm:sqref>W7</xm:sqref>
        </x14:conditionalFormatting>
        <x14:conditionalFormatting xmlns:xm="http://schemas.microsoft.com/office/excel/2006/main">
          <x14:cfRule type="iconSet" priority="37" id="{1B023424-7153-44AB-B815-5B97FCAD8FA9}">
            <x14:iconSet iconSet="3Triangles">
              <x14:cfvo type="percent">
                <xm:f>0</xm:f>
              </x14:cfvo>
              <x14:cfvo type="percent">
                <xm:f>33</xm:f>
              </x14:cfvo>
              <x14:cfvo type="percent">
                <xm:f>67</xm:f>
              </x14:cfvo>
            </x14:iconSet>
          </x14:cfRule>
          <x14:cfRule type="iconSet" priority="38" id="{09A4B001-8CD9-4D47-86B7-793BCE674877}">
            <x14:iconSet iconSet="3Triangles">
              <x14:cfvo type="percent">
                <xm:f>0</xm:f>
              </x14:cfvo>
              <x14:cfvo type="percent">
                <xm:f>33</xm:f>
              </x14:cfvo>
              <x14:cfvo type="percent">
                <xm:f>67</xm:f>
              </x14:cfvo>
            </x14:iconSet>
          </x14:cfRule>
          <xm:sqref>U2 W3</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803B-668C-4EEE-824A-0D0C68E3CBC8}">
  <sheetPr codeName="Sheet5">
    <tabColor rgb="FFC00000"/>
  </sheetPr>
  <dimension ref="J1:W13"/>
  <sheetViews>
    <sheetView showGridLines="0" showRowColHeaders="0" zoomScale="94" zoomScaleNormal="94" workbookViewId="0"/>
  </sheetViews>
  <sheetFormatPr defaultRowHeight="14.5" x14ac:dyDescent="0.35"/>
  <cols>
    <col min="1" max="1" width="1" style="3" customWidth="1"/>
    <col min="2" max="5" width="8.7265625" style="3"/>
    <col min="6" max="6" width="8.7265625" style="3" customWidth="1"/>
    <col min="7" max="19" width="8.7265625" style="3"/>
    <col min="20" max="20" width="9.453125" style="3" customWidth="1"/>
    <col min="21" max="21" width="14" style="3" bestFit="1" customWidth="1"/>
    <col min="22" max="22" width="8.54296875" style="3" customWidth="1"/>
    <col min="23" max="16384" width="8.7265625" style="3"/>
  </cols>
  <sheetData>
    <row r="1" spans="10:23" x14ac:dyDescent="0.35">
      <c r="J1" s="2"/>
    </row>
    <row r="2" spans="10:23" x14ac:dyDescent="0.35">
      <c r="S2" s="9"/>
      <c r="U2" s="4"/>
    </row>
    <row r="3" spans="10:23" x14ac:dyDescent="0.35">
      <c r="T3" s="6"/>
      <c r="U3" s="10"/>
      <c r="V3" s="5"/>
      <c r="W3" s="11"/>
    </row>
    <row r="4" spans="10:23" x14ac:dyDescent="0.35">
      <c r="T4" s="8"/>
      <c r="V4" s="7"/>
    </row>
    <row r="5" spans="10:23" x14ac:dyDescent="0.35">
      <c r="T5" s="8"/>
      <c r="V5" s="7"/>
    </row>
    <row r="6" spans="10:23" x14ac:dyDescent="0.35">
      <c r="T6" s="8"/>
      <c r="V6" s="7"/>
    </row>
    <row r="7" spans="10:23" x14ac:dyDescent="0.35">
      <c r="T7" s="8"/>
      <c r="V7" s="7"/>
    </row>
    <row r="8" spans="10:23" x14ac:dyDescent="0.35">
      <c r="U8" s="1"/>
    </row>
    <row r="12" spans="10:23" x14ac:dyDescent="0.35">
      <c r="K12" s="12"/>
    </row>
    <row r="13" spans="10:23" x14ac:dyDescent="0.35">
      <c r="K13" s="13"/>
    </row>
  </sheetData>
  <sheetProtection algorithmName="SHA-512" hashValue="CQrWcyDeMFdAKyOaEdU9z4jtU0aTcIy3E2ZIcj0hdmoS4JELqFLj8Gmz6E8BiCUleqR4ywwq5vnTxBmWgl+dOQ==" saltValue="eRDyyr5PAUbilKzInTazLA==" spinCount="100000" scenarios="1" autoFilter="0" pivotTables="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02" r:id="rId4" name="Drop Down 110">
              <controlPr defaultSize="0" autoLine="0" autoPict="0">
                <anchor moveWithCells="1">
                  <from>
                    <xdr:col>2</xdr:col>
                    <xdr:colOff>558800</xdr:colOff>
                    <xdr:row>4</xdr:row>
                    <xdr:rowOff>82550</xdr:rowOff>
                  </from>
                  <to>
                    <xdr:col>5</xdr:col>
                    <xdr:colOff>508000</xdr:colOff>
                    <xdr:row>5</xdr:row>
                    <xdr:rowOff>120650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6" id="{46982B8E-201B-484A-BEEA-037A5F46D9A0}">
            <x14:iconSet iconSet="3Triangles">
              <x14:cfvo type="percent">
                <xm:f>0</xm:f>
              </x14:cfvo>
              <x14:cfvo type="percent">
                <xm:f>33</xm:f>
              </x14:cfvo>
              <x14:cfvo type="percent">
                <xm:f>67</xm:f>
              </x14:cfvo>
            </x14:iconSet>
          </x14:cfRule>
          <xm:sqref>J1</xm:sqref>
        </x14:conditionalFormatting>
        <x14:conditionalFormatting xmlns:xm="http://schemas.microsoft.com/office/excel/2006/main">
          <x14:cfRule type="iconSet" priority="7" id="{77CA2574-B075-43A4-A30E-DA3123A9131A}">
            <x14:iconSet iconSet="3Triangles">
              <x14:cfvo type="percent">
                <xm:f>0</xm:f>
              </x14:cfvo>
              <x14:cfvo type="percent">
                <xm:f>33</xm:f>
              </x14:cfvo>
              <x14:cfvo type="percent">
                <xm:f>67</xm:f>
              </x14:cfvo>
            </x14:iconSet>
          </x14:cfRule>
          <x14:cfRule type="iconSet" priority="8" id="{03A01D57-4FE7-4602-A62F-BEF6AECB93A6}">
            <x14:iconSet iconSet="3Triangles">
              <x14:cfvo type="percent">
                <xm:f>0</xm:f>
              </x14:cfvo>
              <x14:cfvo type="percent">
                <xm:f>33</xm:f>
              </x14:cfvo>
              <x14:cfvo type="percent">
                <xm:f>67</xm:f>
              </x14:cfvo>
            </x14:iconSet>
          </x14:cfRule>
          <xm:sqref>T3 W3 U2</xm:sqref>
        </x14:conditionalFormatting>
        <x14:conditionalFormatting xmlns:xm="http://schemas.microsoft.com/office/excel/2006/main">
          <x14:cfRule type="expression" priority="4" id="{53DB8948-6F9D-492E-89C3-8AF34951C853}">
            <xm:f>Pivot_Tables!$K$29</xm:f>
            <x14:dxf>
              <numFmt numFmtId="167" formatCode="0.0%"/>
            </x14:dxf>
          </x14:cfRule>
          <x14:cfRule type="iconSet" priority="5" id="{21BD3A61-5AFD-4BE2-A796-7A4F0994F823}">
            <x14:iconSet iconSet="3Triangles">
              <x14:cfvo type="percent">
                <xm:f>0</xm:f>
              </x14:cfvo>
              <x14:cfvo type="percent">
                <xm:f>33</xm:f>
              </x14:cfvo>
              <x14:cfvo type="percent">
                <xm:f>67</xm:f>
              </x14:cfvo>
            </x14:iconSet>
          </x14:cfRule>
          <xm:sqref>T4</xm:sqref>
        </x14:conditionalFormatting>
        <x14:conditionalFormatting xmlns:xm="http://schemas.microsoft.com/office/excel/2006/main">
          <x14:cfRule type="iconSet" priority="3" id="{B00484EF-3A64-429F-B84F-72E8C4BF46D7}">
            <x14:iconSet iconSet="3Triangles">
              <x14:cfvo type="percent">
                <xm:f>0</xm:f>
              </x14:cfvo>
              <x14:cfvo type="percent">
                <xm:f>33</xm:f>
              </x14:cfvo>
              <x14:cfvo type="percent">
                <xm:f>67</xm:f>
              </x14:cfvo>
            </x14:iconSet>
          </x14:cfRule>
          <xm:sqref>T5</xm:sqref>
        </x14:conditionalFormatting>
        <x14:conditionalFormatting xmlns:xm="http://schemas.microsoft.com/office/excel/2006/main">
          <x14:cfRule type="iconSet" priority="2" id="{982CCEC1-31C8-4F23-B501-9D560D8E520A}">
            <x14:iconSet iconSet="3Triangles">
              <x14:cfvo type="percent">
                <xm:f>0</xm:f>
              </x14:cfvo>
              <x14:cfvo type="percent">
                <xm:f>33</xm:f>
              </x14:cfvo>
              <x14:cfvo type="percent">
                <xm:f>67</xm:f>
              </x14:cfvo>
            </x14:iconSet>
          </x14:cfRule>
          <xm:sqref>T6</xm:sqref>
        </x14:conditionalFormatting>
        <x14:conditionalFormatting xmlns:xm="http://schemas.microsoft.com/office/excel/2006/main">
          <x14:cfRule type="iconSet" priority="1" id="{451108E5-B5D4-4921-9223-A899EBCB876A}">
            <x14:iconSet iconSet="3Triangles">
              <x14:cfvo type="percent">
                <xm:f>0</xm:f>
              </x14:cfvo>
              <x14:cfvo type="percent">
                <xm:f>33</xm:f>
              </x14:cfvo>
              <x14:cfvo type="percent">
                <xm:f>67</xm:f>
              </x14:cfvo>
            </x14:iconSet>
          </x14:cfRule>
          <xm:sqref>T7</xm:sqref>
        </x14:conditionalFormatting>
      </x14:conditionalFormattings>
    </ex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F55CC-7768-4924-841B-F8EA25682134}">
  <sheetPr codeName="Sheet4">
    <tabColor rgb="FF00B0F0"/>
  </sheetPr>
  <dimension ref="C1:M68"/>
  <sheetViews>
    <sheetView topLeftCell="E39" workbookViewId="0">
      <selection activeCell="T4" sqref="T4"/>
    </sheetView>
  </sheetViews>
  <sheetFormatPr defaultRowHeight="14.5" x14ac:dyDescent="0.35"/>
  <cols>
    <col min="1" max="2" width="8.7265625" style="3"/>
    <col min="3" max="3" width="13.08984375" style="3" bestFit="1" customWidth="1"/>
    <col min="4" max="4" width="15.1796875" style="3" bestFit="1" customWidth="1"/>
    <col min="5" max="5" width="11.90625" style="3" bestFit="1" customWidth="1"/>
    <col min="6" max="6" width="12.453125" style="3" bestFit="1" customWidth="1"/>
    <col min="7" max="7" width="15.1796875" style="3" bestFit="1" customWidth="1"/>
    <col min="8" max="8" width="10.26953125" style="3" bestFit="1" customWidth="1"/>
    <col min="9" max="9" width="12.453125" style="3" bestFit="1" customWidth="1"/>
    <col min="10" max="10" width="8" style="3" bestFit="1" customWidth="1"/>
    <col min="11" max="11" width="19.81640625" style="3" bestFit="1" customWidth="1"/>
    <col min="12" max="12" width="12.453125" style="3" bestFit="1" customWidth="1"/>
    <col min="13" max="14" width="12.54296875" style="3" bestFit="1" customWidth="1"/>
    <col min="15" max="20" width="5.6328125" style="3" bestFit="1" customWidth="1"/>
    <col min="21" max="963" width="10.26953125" style="3" bestFit="1" customWidth="1"/>
    <col min="964" max="964" width="12.26953125" style="3" bestFit="1" customWidth="1"/>
    <col min="965" max="965" width="12.54296875" style="3" bestFit="1" customWidth="1"/>
    <col min="966" max="966" width="12.26953125" style="3" bestFit="1" customWidth="1"/>
    <col min="967" max="967" width="12.54296875" style="3" bestFit="1" customWidth="1"/>
    <col min="968" max="968" width="12.26953125" style="3" bestFit="1" customWidth="1"/>
    <col min="969" max="969" width="12.54296875" style="3" bestFit="1" customWidth="1"/>
    <col min="970" max="970" width="12.26953125" style="3" bestFit="1" customWidth="1"/>
    <col min="971" max="971" width="12.54296875" style="3" bestFit="1" customWidth="1"/>
    <col min="972" max="972" width="12.26953125" style="3" bestFit="1" customWidth="1"/>
    <col min="973" max="973" width="12.54296875" style="3" bestFit="1" customWidth="1"/>
    <col min="974" max="974" width="12.26953125" style="3" bestFit="1" customWidth="1"/>
    <col min="975" max="975" width="12.54296875" style="3" bestFit="1" customWidth="1"/>
    <col min="976" max="976" width="12.26953125" style="3" bestFit="1" customWidth="1"/>
    <col min="977" max="977" width="12.54296875" style="3" bestFit="1" customWidth="1"/>
    <col min="978" max="978" width="12.26953125" style="3" bestFit="1" customWidth="1"/>
    <col min="979" max="979" width="12.54296875" style="3" bestFit="1" customWidth="1"/>
    <col min="980" max="980" width="12.26953125" style="3" bestFit="1" customWidth="1"/>
    <col min="981" max="981" width="12.54296875" style="3" bestFit="1" customWidth="1"/>
    <col min="982" max="982" width="12.26953125" style="3" bestFit="1" customWidth="1"/>
    <col min="983" max="983" width="12.54296875" style="3" bestFit="1" customWidth="1"/>
    <col min="984" max="984" width="12.26953125" style="3" bestFit="1" customWidth="1"/>
    <col min="985" max="985" width="12.54296875" style="3" bestFit="1" customWidth="1"/>
    <col min="986" max="986" width="12.26953125" style="3" bestFit="1" customWidth="1"/>
    <col min="987" max="987" width="12.54296875" style="3" bestFit="1" customWidth="1"/>
    <col min="988" max="988" width="12.26953125" style="3" bestFit="1" customWidth="1"/>
    <col min="989" max="989" width="12.54296875" style="3" bestFit="1" customWidth="1"/>
    <col min="990" max="990" width="12.26953125" style="3" bestFit="1" customWidth="1"/>
    <col min="991" max="991" width="12.54296875" style="3" bestFit="1" customWidth="1"/>
    <col min="992" max="992" width="12.26953125" style="3" bestFit="1" customWidth="1"/>
    <col min="993" max="993" width="12.54296875" style="3" bestFit="1" customWidth="1"/>
    <col min="994" max="994" width="12.26953125" style="3" bestFit="1" customWidth="1"/>
    <col min="995" max="995" width="12.54296875" style="3" bestFit="1" customWidth="1"/>
    <col min="996" max="996" width="12.26953125" style="3" bestFit="1" customWidth="1"/>
    <col min="997" max="997" width="12.54296875" style="3" bestFit="1" customWidth="1"/>
    <col min="998" max="998" width="12.26953125" style="3" bestFit="1" customWidth="1"/>
    <col min="999" max="999" width="12.54296875" style="3" bestFit="1" customWidth="1"/>
    <col min="1000" max="1000" width="12.26953125" style="3" bestFit="1" customWidth="1"/>
    <col min="1001" max="1001" width="12.54296875" style="3" bestFit="1" customWidth="1"/>
    <col min="1002" max="1002" width="12.26953125" style="3" bestFit="1" customWidth="1"/>
    <col min="1003" max="1003" width="12.54296875" style="3" bestFit="1" customWidth="1"/>
    <col min="1004" max="1004" width="12.26953125" style="3" bestFit="1" customWidth="1"/>
    <col min="1005" max="1005" width="12.54296875" style="3" bestFit="1" customWidth="1"/>
    <col min="1006" max="1006" width="12.26953125" style="3" bestFit="1" customWidth="1"/>
    <col min="1007" max="1007" width="12.54296875" style="3" bestFit="1" customWidth="1"/>
    <col min="1008" max="1008" width="12.26953125" style="3" bestFit="1" customWidth="1"/>
    <col min="1009" max="1009" width="12.54296875" style="3" bestFit="1" customWidth="1"/>
    <col min="1010" max="1010" width="12.26953125" style="3" bestFit="1" customWidth="1"/>
    <col min="1011" max="1011" width="12.54296875" style="3" bestFit="1" customWidth="1"/>
    <col min="1012" max="1012" width="12.26953125" style="3" bestFit="1" customWidth="1"/>
    <col min="1013" max="1013" width="12.54296875" style="3" bestFit="1" customWidth="1"/>
    <col min="1014" max="1014" width="12.26953125" style="3" bestFit="1" customWidth="1"/>
    <col min="1015" max="1015" width="12.54296875" style="3" bestFit="1" customWidth="1"/>
    <col min="1016" max="1016" width="12.26953125" style="3" bestFit="1" customWidth="1"/>
    <col min="1017" max="1017" width="12.54296875" style="3" bestFit="1" customWidth="1"/>
    <col min="1018" max="1018" width="12.26953125" style="3" bestFit="1" customWidth="1"/>
    <col min="1019" max="1019" width="12.54296875" style="3" bestFit="1" customWidth="1"/>
    <col min="1020" max="1020" width="12.26953125" style="3" bestFit="1" customWidth="1"/>
    <col min="1021" max="1021" width="12.54296875" style="3" bestFit="1" customWidth="1"/>
    <col min="1022" max="1022" width="12.26953125" style="3" bestFit="1" customWidth="1"/>
    <col min="1023" max="1023" width="12.54296875" style="3" bestFit="1" customWidth="1"/>
    <col min="1024" max="1024" width="12.26953125" style="3" bestFit="1" customWidth="1"/>
    <col min="1025" max="1025" width="12.54296875" style="3" bestFit="1" customWidth="1"/>
    <col min="1026" max="1026" width="12.26953125" style="3" bestFit="1" customWidth="1"/>
    <col min="1027" max="1027" width="12.54296875" style="3" bestFit="1" customWidth="1"/>
    <col min="1028" max="1028" width="12.26953125" style="3" bestFit="1" customWidth="1"/>
    <col min="1029" max="1029" width="12.54296875" style="3" bestFit="1" customWidth="1"/>
    <col min="1030" max="1030" width="12.26953125" style="3" bestFit="1" customWidth="1"/>
    <col min="1031" max="1031" width="12.54296875" style="3" bestFit="1" customWidth="1"/>
    <col min="1032" max="1032" width="12.26953125" style="3" bestFit="1" customWidth="1"/>
    <col min="1033" max="1033" width="12.54296875" style="3" bestFit="1" customWidth="1"/>
    <col min="1034" max="1034" width="12.26953125" style="3" bestFit="1" customWidth="1"/>
    <col min="1035" max="1035" width="12.54296875" style="3" bestFit="1" customWidth="1"/>
    <col min="1036" max="1036" width="12.26953125" style="3" bestFit="1" customWidth="1"/>
    <col min="1037" max="1037" width="12.54296875" style="3" bestFit="1" customWidth="1"/>
    <col min="1038" max="1038" width="12.26953125" style="3" bestFit="1" customWidth="1"/>
    <col min="1039" max="1039" width="12.54296875" style="3" bestFit="1" customWidth="1"/>
    <col min="1040" max="1040" width="12.26953125" style="3" bestFit="1" customWidth="1"/>
    <col min="1041" max="1041" width="12.54296875" style="3" bestFit="1" customWidth="1"/>
    <col min="1042" max="1042" width="12.26953125" style="3" bestFit="1" customWidth="1"/>
    <col min="1043" max="1043" width="12.54296875" style="3" bestFit="1" customWidth="1"/>
    <col min="1044" max="1044" width="12.26953125" style="3" bestFit="1" customWidth="1"/>
    <col min="1045" max="1045" width="12.54296875" style="3" bestFit="1" customWidth="1"/>
    <col min="1046" max="1046" width="12.26953125" style="3" bestFit="1" customWidth="1"/>
    <col min="1047" max="1047" width="12.54296875" style="3" bestFit="1" customWidth="1"/>
    <col min="1048" max="1048" width="12.26953125" style="3" bestFit="1" customWidth="1"/>
    <col min="1049" max="1049" width="12.54296875" style="3" bestFit="1" customWidth="1"/>
    <col min="1050" max="1050" width="12.26953125" style="3" bestFit="1" customWidth="1"/>
    <col min="1051" max="1051" width="12.54296875" style="3" bestFit="1" customWidth="1"/>
    <col min="1052" max="1052" width="12.26953125" style="3" bestFit="1" customWidth="1"/>
    <col min="1053" max="1053" width="12.54296875" style="3" bestFit="1" customWidth="1"/>
    <col min="1054" max="1054" width="12.26953125" style="3" bestFit="1" customWidth="1"/>
    <col min="1055" max="1055" width="12.54296875" style="3" bestFit="1" customWidth="1"/>
    <col min="1056" max="1056" width="12.26953125" style="3" bestFit="1" customWidth="1"/>
    <col min="1057" max="1057" width="12.54296875" style="3" bestFit="1" customWidth="1"/>
    <col min="1058" max="1058" width="12.26953125" style="3" bestFit="1" customWidth="1"/>
    <col min="1059" max="1059" width="12.54296875" style="3" bestFit="1" customWidth="1"/>
    <col min="1060" max="1060" width="12.26953125" style="3" bestFit="1" customWidth="1"/>
    <col min="1061" max="1061" width="12.54296875" style="3" bestFit="1" customWidth="1"/>
    <col min="1062" max="1062" width="12.26953125" style="3" bestFit="1" customWidth="1"/>
    <col min="1063" max="1063" width="12.54296875" style="3" bestFit="1" customWidth="1"/>
    <col min="1064" max="1064" width="12.26953125" style="3" bestFit="1" customWidth="1"/>
    <col min="1065" max="1065" width="12.54296875" style="3" bestFit="1" customWidth="1"/>
    <col min="1066" max="1066" width="12.26953125" style="3" bestFit="1" customWidth="1"/>
    <col min="1067" max="1067" width="12.54296875" style="3" bestFit="1" customWidth="1"/>
    <col min="1068" max="1068" width="12.26953125" style="3" bestFit="1" customWidth="1"/>
    <col min="1069" max="1069" width="12.54296875" style="3" bestFit="1" customWidth="1"/>
    <col min="1070" max="1070" width="12.26953125" style="3" bestFit="1" customWidth="1"/>
    <col min="1071" max="1071" width="12.54296875" style="3" bestFit="1" customWidth="1"/>
    <col min="1072" max="1072" width="12.26953125" style="3" bestFit="1" customWidth="1"/>
    <col min="1073" max="1073" width="12.54296875" style="3" bestFit="1" customWidth="1"/>
    <col min="1074" max="1074" width="12.26953125" style="3" bestFit="1" customWidth="1"/>
    <col min="1075" max="1075" width="12.54296875" style="3" bestFit="1" customWidth="1"/>
    <col min="1076" max="1076" width="12.26953125" style="3" bestFit="1" customWidth="1"/>
    <col min="1077" max="1077" width="12.54296875" style="3" bestFit="1" customWidth="1"/>
    <col min="1078" max="1078" width="12.26953125" style="3" bestFit="1" customWidth="1"/>
    <col min="1079" max="1079" width="12.54296875" style="3" bestFit="1" customWidth="1"/>
    <col min="1080" max="1080" width="12.26953125" style="3" bestFit="1" customWidth="1"/>
    <col min="1081" max="1081" width="12.54296875" style="3" bestFit="1" customWidth="1"/>
    <col min="1082" max="1082" width="12.26953125" style="3" bestFit="1" customWidth="1"/>
    <col min="1083" max="1083" width="12.54296875" style="3" bestFit="1" customWidth="1"/>
    <col min="1084" max="1084" width="12.26953125" style="3" bestFit="1" customWidth="1"/>
    <col min="1085" max="1085" width="12.54296875" style="3" bestFit="1" customWidth="1"/>
    <col min="1086" max="1086" width="12.26953125" style="3" bestFit="1" customWidth="1"/>
    <col min="1087" max="1087" width="12.54296875" style="3" bestFit="1" customWidth="1"/>
    <col min="1088" max="1088" width="12.26953125" style="3" bestFit="1" customWidth="1"/>
    <col min="1089" max="1089" width="12.54296875" style="3" bestFit="1" customWidth="1"/>
    <col min="1090" max="1090" width="12.26953125" style="3" bestFit="1" customWidth="1"/>
    <col min="1091" max="1091" width="12.54296875" style="3" bestFit="1" customWidth="1"/>
    <col min="1092" max="1092" width="12.26953125" style="3" bestFit="1" customWidth="1"/>
    <col min="1093" max="1093" width="12.54296875" style="3" bestFit="1" customWidth="1"/>
    <col min="1094" max="1094" width="12.26953125" style="3" bestFit="1" customWidth="1"/>
    <col min="1095" max="1095" width="12.54296875" style="3" bestFit="1" customWidth="1"/>
    <col min="1096" max="1096" width="12.26953125" style="3" bestFit="1" customWidth="1"/>
    <col min="1097" max="1097" width="12.54296875" style="3" bestFit="1" customWidth="1"/>
    <col min="1098" max="1098" width="12.26953125" style="3" bestFit="1" customWidth="1"/>
    <col min="1099" max="1099" width="12.54296875" style="3" bestFit="1" customWidth="1"/>
    <col min="1100" max="1100" width="12.26953125" style="3" bestFit="1" customWidth="1"/>
    <col min="1101" max="1101" width="12.54296875" style="3" bestFit="1" customWidth="1"/>
    <col min="1102" max="1102" width="12.26953125" style="3" bestFit="1" customWidth="1"/>
    <col min="1103" max="1103" width="12.54296875" style="3" bestFit="1" customWidth="1"/>
    <col min="1104" max="1104" width="12.26953125" style="3" bestFit="1" customWidth="1"/>
    <col min="1105" max="1105" width="12.54296875" style="3" bestFit="1" customWidth="1"/>
    <col min="1106" max="1106" width="12.26953125" style="3" bestFit="1" customWidth="1"/>
    <col min="1107" max="1107" width="12.54296875" style="3" bestFit="1" customWidth="1"/>
    <col min="1108" max="1108" width="12.26953125" style="3" bestFit="1" customWidth="1"/>
    <col min="1109" max="1109" width="12.54296875" style="3" bestFit="1" customWidth="1"/>
    <col min="1110" max="1110" width="12.26953125" style="3" bestFit="1" customWidth="1"/>
    <col min="1111" max="1111" width="12.54296875" style="3" bestFit="1" customWidth="1"/>
    <col min="1112" max="1112" width="12.26953125" style="3" bestFit="1" customWidth="1"/>
    <col min="1113" max="1113" width="12.54296875" style="3" bestFit="1" customWidth="1"/>
    <col min="1114" max="1114" width="12.26953125" style="3" bestFit="1" customWidth="1"/>
    <col min="1115" max="1115" width="12.54296875" style="3" bestFit="1" customWidth="1"/>
    <col min="1116" max="1116" width="12.26953125" style="3" bestFit="1" customWidth="1"/>
    <col min="1117" max="1117" width="12.54296875" style="3" bestFit="1" customWidth="1"/>
    <col min="1118" max="1118" width="12.26953125" style="3" bestFit="1" customWidth="1"/>
    <col min="1119" max="1119" width="12.54296875" style="3" bestFit="1" customWidth="1"/>
    <col min="1120" max="1120" width="12.26953125" style="3" bestFit="1" customWidth="1"/>
    <col min="1121" max="1121" width="12.54296875" style="3" bestFit="1" customWidth="1"/>
    <col min="1122" max="1122" width="12.26953125" style="3" bestFit="1" customWidth="1"/>
    <col min="1123" max="1123" width="12.54296875" style="3" bestFit="1" customWidth="1"/>
    <col min="1124" max="1124" width="12.26953125" style="3" bestFit="1" customWidth="1"/>
    <col min="1125" max="1125" width="12.54296875" style="3" bestFit="1" customWidth="1"/>
    <col min="1126" max="1126" width="12.26953125" style="3" bestFit="1" customWidth="1"/>
    <col min="1127" max="1127" width="12.54296875" style="3" bestFit="1" customWidth="1"/>
    <col min="1128" max="1128" width="12.26953125" style="3" bestFit="1" customWidth="1"/>
    <col min="1129" max="1129" width="12.54296875" style="3" bestFit="1" customWidth="1"/>
    <col min="1130" max="1130" width="12.26953125" style="3" bestFit="1" customWidth="1"/>
    <col min="1131" max="1131" width="12.54296875" style="3" bestFit="1" customWidth="1"/>
    <col min="1132" max="1132" width="12.26953125" style="3" bestFit="1" customWidth="1"/>
    <col min="1133" max="1133" width="12.54296875" style="3" bestFit="1" customWidth="1"/>
    <col min="1134" max="1134" width="12.26953125" style="3" bestFit="1" customWidth="1"/>
    <col min="1135" max="1135" width="12.54296875" style="3" bestFit="1" customWidth="1"/>
    <col min="1136" max="1136" width="12.26953125" style="3" bestFit="1" customWidth="1"/>
    <col min="1137" max="1137" width="12.54296875" style="3" bestFit="1" customWidth="1"/>
    <col min="1138" max="1138" width="12.26953125" style="3" bestFit="1" customWidth="1"/>
    <col min="1139" max="1139" width="12.54296875" style="3" bestFit="1" customWidth="1"/>
    <col min="1140" max="1140" width="12.26953125" style="3" bestFit="1" customWidth="1"/>
    <col min="1141" max="1141" width="12.54296875" style="3" bestFit="1" customWidth="1"/>
    <col min="1142" max="1142" width="12.26953125" style="3" bestFit="1" customWidth="1"/>
    <col min="1143" max="1143" width="12.54296875" style="3" bestFit="1" customWidth="1"/>
    <col min="1144" max="1144" width="12.26953125" style="3" bestFit="1" customWidth="1"/>
    <col min="1145" max="1145" width="12.54296875" style="3" bestFit="1" customWidth="1"/>
    <col min="1146" max="1146" width="12.26953125" style="3" bestFit="1" customWidth="1"/>
    <col min="1147" max="1147" width="12.54296875" style="3" bestFit="1" customWidth="1"/>
    <col min="1148" max="1148" width="12.26953125" style="3" bestFit="1" customWidth="1"/>
    <col min="1149" max="1149" width="12.54296875" style="3" bestFit="1" customWidth="1"/>
    <col min="1150" max="1150" width="12.26953125" style="3" bestFit="1" customWidth="1"/>
    <col min="1151" max="1151" width="12.54296875" style="3" bestFit="1" customWidth="1"/>
    <col min="1152" max="1152" width="12.26953125" style="3" bestFit="1" customWidth="1"/>
    <col min="1153" max="1153" width="12.54296875" style="3" bestFit="1" customWidth="1"/>
    <col min="1154" max="1154" width="12.26953125" style="3" bestFit="1" customWidth="1"/>
    <col min="1155" max="1155" width="12.54296875" style="3" bestFit="1" customWidth="1"/>
    <col min="1156" max="1156" width="12.26953125" style="3" bestFit="1" customWidth="1"/>
    <col min="1157" max="1157" width="12.54296875" style="3" bestFit="1" customWidth="1"/>
    <col min="1158" max="1158" width="12.26953125" style="3" bestFit="1" customWidth="1"/>
    <col min="1159" max="1159" width="12.54296875" style="3" bestFit="1" customWidth="1"/>
    <col min="1160" max="1160" width="12.26953125" style="3" bestFit="1" customWidth="1"/>
    <col min="1161" max="1161" width="12.54296875" style="3" bestFit="1" customWidth="1"/>
    <col min="1162" max="1162" width="12.26953125" style="3" bestFit="1" customWidth="1"/>
    <col min="1163" max="1163" width="12.54296875" style="3" bestFit="1" customWidth="1"/>
    <col min="1164" max="1164" width="12.26953125" style="3" bestFit="1" customWidth="1"/>
    <col min="1165" max="1165" width="12.54296875" style="3" bestFit="1" customWidth="1"/>
    <col min="1166" max="1166" width="12.26953125" style="3" bestFit="1" customWidth="1"/>
    <col min="1167" max="1167" width="12.54296875" style="3" bestFit="1" customWidth="1"/>
    <col min="1168" max="1168" width="12.26953125" style="3" bestFit="1" customWidth="1"/>
    <col min="1169" max="1169" width="12.54296875" style="3" bestFit="1" customWidth="1"/>
    <col min="1170" max="1170" width="12.26953125" style="3" bestFit="1" customWidth="1"/>
    <col min="1171" max="1171" width="12.54296875" style="3" bestFit="1" customWidth="1"/>
    <col min="1172" max="1172" width="12.26953125" style="3" bestFit="1" customWidth="1"/>
    <col min="1173" max="1173" width="12.54296875" style="3" bestFit="1" customWidth="1"/>
    <col min="1174" max="1174" width="12.26953125" style="3" bestFit="1" customWidth="1"/>
    <col min="1175" max="1175" width="12.54296875" style="3" bestFit="1" customWidth="1"/>
    <col min="1176" max="1176" width="12.26953125" style="3" bestFit="1" customWidth="1"/>
    <col min="1177" max="1177" width="12.54296875" style="3" bestFit="1" customWidth="1"/>
    <col min="1178" max="1178" width="12.26953125" style="3" bestFit="1" customWidth="1"/>
    <col min="1179" max="1179" width="12.54296875" style="3" bestFit="1" customWidth="1"/>
    <col min="1180" max="1180" width="12.26953125" style="3" bestFit="1" customWidth="1"/>
    <col min="1181" max="1181" width="12.54296875" style="3" bestFit="1" customWidth="1"/>
    <col min="1182" max="1182" width="12.26953125" style="3" bestFit="1" customWidth="1"/>
    <col min="1183" max="1183" width="12.54296875" style="3" bestFit="1" customWidth="1"/>
    <col min="1184" max="1184" width="12.26953125" style="3" bestFit="1" customWidth="1"/>
    <col min="1185" max="1185" width="12.54296875" style="3" bestFit="1" customWidth="1"/>
    <col min="1186" max="1186" width="12.26953125" style="3" bestFit="1" customWidth="1"/>
    <col min="1187" max="1187" width="12.54296875" style="3" bestFit="1" customWidth="1"/>
    <col min="1188" max="1188" width="12.26953125" style="3" bestFit="1" customWidth="1"/>
    <col min="1189" max="1189" width="12.54296875" style="3" bestFit="1" customWidth="1"/>
    <col min="1190" max="1190" width="12.26953125" style="3" bestFit="1" customWidth="1"/>
    <col min="1191" max="1191" width="12.54296875" style="3" bestFit="1" customWidth="1"/>
    <col min="1192" max="1192" width="12.26953125" style="3" bestFit="1" customWidth="1"/>
    <col min="1193" max="1193" width="12.54296875" style="3" bestFit="1" customWidth="1"/>
    <col min="1194" max="1194" width="12.26953125" style="3" bestFit="1" customWidth="1"/>
    <col min="1195" max="1195" width="12.54296875" style="3" bestFit="1" customWidth="1"/>
    <col min="1196" max="1196" width="12.26953125" style="3" bestFit="1" customWidth="1"/>
    <col min="1197" max="1197" width="12.54296875" style="3" bestFit="1" customWidth="1"/>
    <col min="1198" max="1198" width="12.26953125" style="3" bestFit="1" customWidth="1"/>
    <col min="1199" max="1199" width="12.54296875" style="3" bestFit="1" customWidth="1"/>
    <col min="1200" max="1200" width="12.26953125" style="3" bestFit="1" customWidth="1"/>
    <col min="1201" max="1201" width="12.54296875" style="3" bestFit="1" customWidth="1"/>
    <col min="1202" max="1202" width="12.26953125" style="3" bestFit="1" customWidth="1"/>
    <col min="1203" max="1203" width="12.54296875" style="3" bestFit="1" customWidth="1"/>
    <col min="1204" max="1204" width="12.26953125" style="3" bestFit="1" customWidth="1"/>
    <col min="1205" max="1205" width="12.54296875" style="3" bestFit="1" customWidth="1"/>
    <col min="1206" max="1206" width="12.26953125" style="3" bestFit="1" customWidth="1"/>
    <col min="1207" max="1207" width="12.54296875" style="3" bestFit="1" customWidth="1"/>
    <col min="1208" max="1208" width="12.26953125" style="3" bestFit="1" customWidth="1"/>
    <col min="1209" max="1209" width="12.54296875" style="3" bestFit="1" customWidth="1"/>
    <col min="1210" max="1210" width="12.26953125" style="3" bestFit="1" customWidth="1"/>
    <col min="1211" max="1211" width="12.54296875" style="3" bestFit="1" customWidth="1"/>
    <col min="1212" max="1212" width="12.26953125" style="3" bestFit="1" customWidth="1"/>
    <col min="1213" max="1213" width="12.54296875" style="3" bestFit="1" customWidth="1"/>
    <col min="1214" max="1214" width="12.26953125" style="3" bestFit="1" customWidth="1"/>
    <col min="1215" max="1215" width="12.54296875" style="3" bestFit="1" customWidth="1"/>
    <col min="1216" max="1216" width="12.26953125" style="3" bestFit="1" customWidth="1"/>
    <col min="1217" max="1217" width="12.54296875" style="3" bestFit="1" customWidth="1"/>
    <col min="1218" max="1218" width="12.26953125" style="3" bestFit="1" customWidth="1"/>
    <col min="1219" max="1219" width="12.54296875" style="3" bestFit="1" customWidth="1"/>
    <col min="1220" max="1220" width="12.26953125" style="3" bestFit="1" customWidth="1"/>
    <col min="1221" max="1221" width="12.54296875" style="3" bestFit="1" customWidth="1"/>
    <col min="1222" max="1222" width="12.26953125" style="3" bestFit="1" customWidth="1"/>
    <col min="1223" max="1223" width="12.54296875" style="3" bestFit="1" customWidth="1"/>
    <col min="1224" max="1224" width="12.26953125" style="3" bestFit="1" customWidth="1"/>
    <col min="1225" max="1225" width="12.54296875" style="3" bestFit="1" customWidth="1"/>
    <col min="1226" max="1226" width="12.26953125" style="3" bestFit="1" customWidth="1"/>
    <col min="1227" max="1227" width="12.54296875" style="3" bestFit="1" customWidth="1"/>
    <col min="1228" max="1228" width="12.26953125" style="3" bestFit="1" customWidth="1"/>
    <col min="1229" max="1229" width="12.54296875" style="3" bestFit="1" customWidth="1"/>
    <col min="1230" max="1230" width="12.26953125" style="3" bestFit="1" customWidth="1"/>
    <col min="1231" max="1231" width="12.54296875" style="3" bestFit="1" customWidth="1"/>
    <col min="1232" max="1232" width="12.26953125" style="3" bestFit="1" customWidth="1"/>
    <col min="1233" max="1233" width="12.54296875" style="3" bestFit="1" customWidth="1"/>
    <col min="1234" max="1234" width="12.26953125" style="3" bestFit="1" customWidth="1"/>
    <col min="1235" max="1235" width="12.54296875" style="3" bestFit="1" customWidth="1"/>
    <col min="1236" max="1236" width="12.26953125" style="3" bestFit="1" customWidth="1"/>
    <col min="1237" max="1237" width="12.54296875" style="3" bestFit="1" customWidth="1"/>
    <col min="1238" max="1238" width="12.26953125" style="3" bestFit="1" customWidth="1"/>
    <col min="1239" max="1239" width="12.54296875" style="3" bestFit="1" customWidth="1"/>
    <col min="1240" max="1240" width="12.26953125" style="3" bestFit="1" customWidth="1"/>
    <col min="1241" max="1241" width="12.54296875" style="3" bestFit="1" customWidth="1"/>
    <col min="1242" max="1242" width="12.26953125" style="3" bestFit="1" customWidth="1"/>
    <col min="1243" max="1243" width="12.54296875" style="3" bestFit="1" customWidth="1"/>
    <col min="1244" max="1244" width="12.26953125" style="3" bestFit="1" customWidth="1"/>
    <col min="1245" max="1245" width="12.54296875" style="3" bestFit="1" customWidth="1"/>
    <col min="1246" max="1246" width="12.26953125" style="3" bestFit="1" customWidth="1"/>
    <col min="1247" max="1247" width="12.54296875" style="3" bestFit="1" customWidth="1"/>
    <col min="1248" max="1248" width="12.26953125" style="3" bestFit="1" customWidth="1"/>
    <col min="1249" max="1249" width="12.54296875" style="3" bestFit="1" customWidth="1"/>
    <col min="1250" max="1250" width="12.26953125" style="3" bestFit="1" customWidth="1"/>
    <col min="1251" max="1251" width="12.54296875" style="3" bestFit="1" customWidth="1"/>
    <col min="1252" max="1252" width="12.26953125" style="3" bestFit="1" customWidth="1"/>
    <col min="1253" max="1253" width="12.54296875" style="3" bestFit="1" customWidth="1"/>
    <col min="1254" max="1254" width="12.26953125" style="3" bestFit="1" customWidth="1"/>
    <col min="1255" max="1255" width="12.54296875" style="3" bestFit="1" customWidth="1"/>
    <col min="1256" max="1256" width="12.26953125" style="3" bestFit="1" customWidth="1"/>
    <col min="1257" max="1257" width="12.54296875" style="3" bestFit="1" customWidth="1"/>
    <col min="1258" max="1258" width="12.26953125" style="3" bestFit="1" customWidth="1"/>
    <col min="1259" max="1259" width="12.54296875" style="3" bestFit="1" customWidth="1"/>
    <col min="1260" max="1260" width="12.26953125" style="3" bestFit="1" customWidth="1"/>
    <col min="1261" max="1261" width="12.54296875" style="3" bestFit="1" customWidth="1"/>
    <col min="1262" max="1262" width="12.26953125" style="3" bestFit="1" customWidth="1"/>
    <col min="1263" max="1263" width="12.54296875" style="3" bestFit="1" customWidth="1"/>
    <col min="1264" max="1264" width="12.26953125" style="3" bestFit="1" customWidth="1"/>
    <col min="1265" max="1265" width="12.54296875" style="3" bestFit="1" customWidth="1"/>
    <col min="1266" max="1266" width="12.26953125" style="3" bestFit="1" customWidth="1"/>
    <col min="1267" max="1267" width="12.54296875" style="3" bestFit="1" customWidth="1"/>
    <col min="1268" max="1268" width="12.26953125" style="3" bestFit="1" customWidth="1"/>
    <col min="1269" max="1269" width="12.54296875" style="3" bestFit="1" customWidth="1"/>
    <col min="1270" max="1270" width="12.26953125" style="3" bestFit="1" customWidth="1"/>
    <col min="1271" max="1271" width="12.54296875" style="3" bestFit="1" customWidth="1"/>
    <col min="1272" max="1272" width="12.26953125" style="3" bestFit="1" customWidth="1"/>
    <col min="1273" max="1273" width="12.54296875" style="3" bestFit="1" customWidth="1"/>
    <col min="1274" max="1274" width="12.26953125" style="3" bestFit="1" customWidth="1"/>
    <col min="1275" max="1275" width="12.54296875" style="3" bestFit="1" customWidth="1"/>
    <col min="1276" max="1276" width="12.26953125" style="3" bestFit="1" customWidth="1"/>
    <col min="1277" max="1277" width="12.54296875" style="3" bestFit="1" customWidth="1"/>
    <col min="1278" max="1278" width="12.26953125" style="3" bestFit="1" customWidth="1"/>
    <col min="1279" max="1279" width="12.54296875" style="3" bestFit="1" customWidth="1"/>
    <col min="1280" max="1280" width="12.26953125" style="3" bestFit="1" customWidth="1"/>
    <col min="1281" max="1281" width="12.54296875" style="3" bestFit="1" customWidth="1"/>
    <col min="1282" max="1282" width="12.26953125" style="3" bestFit="1" customWidth="1"/>
    <col min="1283" max="1283" width="12.54296875" style="3" bestFit="1" customWidth="1"/>
    <col min="1284" max="1284" width="12.26953125" style="3" bestFit="1" customWidth="1"/>
    <col min="1285" max="1285" width="12.54296875" style="3" bestFit="1" customWidth="1"/>
    <col min="1286" max="1286" width="12.26953125" style="3" bestFit="1" customWidth="1"/>
    <col min="1287" max="1287" width="12.54296875" style="3" bestFit="1" customWidth="1"/>
    <col min="1288" max="1288" width="12.26953125" style="3" bestFit="1" customWidth="1"/>
    <col min="1289" max="1289" width="12.54296875" style="3" bestFit="1" customWidth="1"/>
    <col min="1290" max="1290" width="12.26953125" style="3" bestFit="1" customWidth="1"/>
    <col min="1291" max="1291" width="12.54296875" style="3" bestFit="1" customWidth="1"/>
    <col min="1292" max="1292" width="12.26953125" style="3" bestFit="1" customWidth="1"/>
    <col min="1293" max="1293" width="12.54296875" style="3" bestFit="1" customWidth="1"/>
    <col min="1294" max="1294" width="12.26953125" style="3" bestFit="1" customWidth="1"/>
    <col min="1295" max="1295" width="12.54296875" style="3" bestFit="1" customWidth="1"/>
    <col min="1296" max="1296" width="12.26953125" style="3" bestFit="1" customWidth="1"/>
    <col min="1297" max="1297" width="12.54296875" style="3" bestFit="1" customWidth="1"/>
    <col min="1298" max="1298" width="12.26953125" style="3" bestFit="1" customWidth="1"/>
    <col min="1299" max="1299" width="12.54296875" style="3" bestFit="1" customWidth="1"/>
    <col min="1300" max="1300" width="12.26953125" style="3" bestFit="1" customWidth="1"/>
    <col min="1301" max="1301" width="12.54296875" style="3" bestFit="1" customWidth="1"/>
    <col min="1302" max="1302" width="12.26953125" style="3" bestFit="1" customWidth="1"/>
    <col min="1303" max="1303" width="12.54296875" style="3" bestFit="1" customWidth="1"/>
    <col min="1304" max="1304" width="12.26953125" style="3" bestFit="1" customWidth="1"/>
    <col min="1305" max="1305" width="12.54296875" style="3" bestFit="1" customWidth="1"/>
    <col min="1306" max="1306" width="12.26953125" style="3" bestFit="1" customWidth="1"/>
    <col min="1307" max="1307" width="12.54296875" style="3" bestFit="1" customWidth="1"/>
    <col min="1308" max="1308" width="12.26953125" style="3" bestFit="1" customWidth="1"/>
    <col min="1309" max="1309" width="12.54296875" style="3" bestFit="1" customWidth="1"/>
    <col min="1310" max="1310" width="12.26953125" style="3" bestFit="1" customWidth="1"/>
    <col min="1311" max="1311" width="12.54296875" style="3" bestFit="1" customWidth="1"/>
    <col min="1312" max="1312" width="12.26953125" style="3" bestFit="1" customWidth="1"/>
    <col min="1313" max="1313" width="12.54296875" style="3" bestFit="1" customWidth="1"/>
    <col min="1314" max="1314" width="12.26953125" style="3" bestFit="1" customWidth="1"/>
    <col min="1315" max="1315" width="12.54296875" style="3" bestFit="1" customWidth="1"/>
    <col min="1316" max="1316" width="12.26953125" style="3" bestFit="1" customWidth="1"/>
    <col min="1317" max="1317" width="12.54296875" style="3" bestFit="1" customWidth="1"/>
    <col min="1318" max="1318" width="12.26953125" style="3" bestFit="1" customWidth="1"/>
    <col min="1319" max="1319" width="12.54296875" style="3" bestFit="1" customWidth="1"/>
    <col min="1320" max="1320" width="12.26953125" style="3" bestFit="1" customWidth="1"/>
    <col min="1321" max="1321" width="12.54296875" style="3" bestFit="1" customWidth="1"/>
    <col min="1322" max="1322" width="12.26953125" style="3" bestFit="1" customWidth="1"/>
    <col min="1323" max="1323" width="12.54296875" style="3" bestFit="1" customWidth="1"/>
    <col min="1324" max="1324" width="12.26953125" style="3" bestFit="1" customWidth="1"/>
    <col min="1325" max="1325" width="12.54296875" style="3" bestFit="1" customWidth="1"/>
    <col min="1326" max="1326" width="12.26953125" style="3" bestFit="1" customWidth="1"/>
    <col min="1327" max="1327" width="12.54296875" style="3" bestFit="1" customWidth="1"/>
    <col min="1328" max="1328" width="12.26953125" style="3" bestFit="1" customWidth="1"/>
    <col min="1329" max="1329" width="12.54296875" style="3" bestFit="1" customWidth="1"/>
    <col min="1330" max="1330" width="12.26953125" style="3" bestFit="1" customWidth="1"/>
    <col min="1331" max="1331" width="12.54296875" style="3" bestFit="1" customWidth="1"/>
    <col min="1332" max="1332" width="12.26953125" style="3" bestFit="1" customWidth="1"/>
    <col min="1333" max="1333" width="12.54296875" style="3" bestFit="1" customWidth="1"/>
    <col min="1334" max="1334" width="12.26953125" style="3" bestFit="1" customWidth="1"/>
    <col min="1335" max="1335" width="12.54296875" style="3" bestFit="1" customWidth="1"/>
    <col min="1336" max="1336" width="12.26953125" style="3" bestFit="1" customWidth="1"/>
    <col min="1337" max="1337" width="12.54296875" style="3" bestFit="1" customWidth="1"/>
    <col min="1338" max="1338" width="12.26953125" style="3" bestFit="1" customWidth="1"/>
    <col min="1339" max="1339" width="12.54296875" style="3" bestFit="1" customWidth="1"/>
    <col min="1340" max="1340" width="12.26953125" style="3" bestFit="1" customWidth="1"/>
    <col min="1341" max="1341" width="12.54296875" style="3" bestFit="1" customWidth="1"/>
    <col min="1342" max="1342" width="12.26953125" style="3" bestFit="1" customWidth="1"/>
    <col min="1343" max="1343" width="12.54296875" style="3" bestFit="1" customWidth="1"/>
    <col min="1344" max="1344" width="12.26953125" style="3" bestFit="1" customWidth="1"/>
    <col min="1345" max="1345" width="12.54296875" style="3" bestFit="1" customWidth="1"/>
    <col min="1346" max="1346" width="12.26953125" style="3" bestFit="1" customWidth="1"/>
    <col min="1347" max="1347" width="12.54296875" style="3" bestFit="1" customWidth="1"/>
    <col min="1348" max="1348" width="12.26953125" style="3" bestFit="1" customWidth="1"/>
    <col min="1349" max="1349" width="12.54296875" style="3" bestFit="1" customWidth="1"/>
    <col min="1350" max="1350" width="12.26953125" style="3" bestFit="1" customWidth="1"/>
    <col min="1351" max="1351" width="12.54296875" style="3" bestFit="1" customWidth="1"/>
    <col min="1352" max="1352" width="12.26953125" style="3" bestFit="1" customWidth="1"/>
    <col min="1353" max="1353" width="12.54296875" style="3" bestFit="1" customWidth="1"/>
    <col min="1354" max="1354" width="12.26953125" style="3" bestFit="1" customWidth="1"/>
    <col min="1355" max="1355" width="12.54296875" style="3" bestFit="1" customWidth="1"/>
    <col min="1356" max="1356" width="12.26953125" style="3" bestFit="1" customWidth="1"/>
    <col min="1357" max="1357" width="12.54296875" style="3" bestFit="1" customWidth="1"/>
    <col min="1358" max="1358" width="12.26953125" style="3" bestFit="1" customWidth="1"/>
    <col min="1359" max="1359" width="12.54296875" style="3" bestFit="1" customWidth="1"/>
    <col min="1360" max="1360" width="12.26953125" style="3" bestFit="1" customWidth="1"/>
    <col min="1361" max="1361" width="12.54296875" style="3" bestFit="1" customWidth="1"/>
    <col min="1362" max="1362" width="12.26953125" style="3" bestFit="1" customWidth="1"/>
    <col min="1363" max="1363" width="12.54296875" style="3" bestFit="1" customWidth="1"/>
    <col min="1364" max="1364" width="12.26953125" style="3" bestFit="1" customWidth="1"/>
    <col min="1365" max="1365" width="12.54296875" style="3" bestFit="1" customWidth="1"/>
    <col min="1366" max="1366" width="12.26953125" style="3" bestFit="1" customWidth="1"/>
    <col min="1367" max="1367" width="12.54296875" style="3" bestFit="1" customWidth="1"/>
    <col min="1368" max="1368" width="12.26953125" style="3" bestFit="1" customWidth="1"/>
    <col min="1369" max="1369" width="12.54296875" style="3" bestFit="1" customWidth="1"/>
    <col min="1370" max="1370" width="12.26953125" style="3" bestFit="1" customWidth="1"/>
    <col min="1371" max="1371" width="12.54296875" style="3" bestFit="1" customWidth="1"/>
    <col min="1372" max="1372" width="12.26953125" style="3" bestFit="1" customWidth="1"/>
    <col min="1373" max="1373" width="12.54296875" style="3" bestFit="1" customWidth="1"/>
    <col min="1374" max="1374" width="12.26953125" style="3" bestFit="1" customWidth="1"/>
    <col min="1375" max="1375" width="12.54296875" style="3" bestFit="1" customWidth="1"/>
    <col min="1376" max="1376" width="12.26953125" style="3" bestFit="1" customWidth="1"/>
    <col min="1377" max="1377" width="12.54296875" style="3" bestFit="1" customWidth="1"/>
    <col min="1378" max="1378" width="12.26953125" style="3" bestFit="1" customWidth="1"/>
    <col min="1379" max="1379" width="12.54296875" style="3" bestFit="1" customWidth="1"/>
    <col min="1380" max="1380" width="12.26953125" style="3" bestFit="1" customWidth="1"/>
    <col min="1381" max="1381" width="12.54296875" style="3" bestFit="1" customWidth="1"/>
    <col min="1382" max="1382" width="12.26953125" style="3" bestFit="1" customWidth="1"/>
    <col min="1383" max="1383" width="12.54296875" style="3" bestFit="1" customWidth="1"/>
    <col min="1384" max="1384" width="12.26953125" style="3" bestFit="1" customWidth="1"/>
    <col min="1385" max="1385" width="12.54296875" style="3" bestFit="1" customWidth="1"/>
    <col min="1386" max="1386" width="12.26953125" style="3" bestFit="1" customWidth="1"/>
    <col min="1387" max="1387" width="12.54296875" style="3" bestFit="1" customWidth="1"/>
    <col min="1388" max="1388" width="12.26953125" style="3" bestFit="1" customWidth="1"/>
    <col min="1389" max="1389" width="12.54296875" style="3" bestFit="1" customWidth="1"/>
    <col min="1390" max="1390" width="12.26953125" style="3" bestFit="1" customWidth="1"/>
    <col min="1391" max="1391" width="12.54296875" style="3" bestFit="1" customWidth="1"/>
    <col min="1392" max="1392" width="12.26953125" style="3" bestFit="1" customWidth="1"/>
    <col min="1393" max="1393" width="12.54296875" style="3" bestFit="1" customWidth="1"/>
    <col min="1394" max="1394" width="12.26953125" style="3" bestFit="1" customWidth="1"/>
    <col min="1395" max="1395" width="12.54296875" style="3" bestFit="1" customWidth="1"/>
    <col min="1396" max="1396" width="12.26953125" style="3" bestFit="1" customWidth="1"/>
    <col min="1397" max="1397" width="12.54296875" style="3" bestFit="1" customWidth="1"/>
    <col min="1398" max="1398" width="12.26953125" style="3" bestFit="1" customWidth="1"/>
    <col min="1399" max="1399" width="12.54296875" style="3" bestFit="1" customWidth="1"/>
    <col min="1400" max="1400" width="12.26953125" style="3" bestFit="1" customWidth="1"/>
    <col min="1401" max="1401" width="12.54296875" style="3" bestFit="1" customWidth="1"/>
    <col min="1402" max="1402" width="12.26953125" style="3" bestFit="1" customWidth="1"/>
    <col min="1403" max="1403" width="12.54296875" style="3" bestFit="1" customWidth="1"/>
    <col min="1404" max="1404" width="12.26953125" style="3" bestFit="1" customWidth="1"/>
    <col min="1405" max="1405" width="12.54296875" style="3" bestFit="1" customWidth="1"/>
    <col min="1406" max="1406" width="12.26953125" style="3" bestFit="1" customWidth="1"/>
    <col min="1407" max="1407" width="12.54296875" style="3" bestFit="1" customWidth="1"/>
    <col min="1408" max="1408" width="12.26953125" style="3" bestFit="1" customWidth="1"/>
    <col min="1409" max="1409" width="12.54296875" style="3" bestFit="1" customWidth="1"/>
    <col min="1410" max="1410" width="12.26953125" style="3" bestFit="1" customWidth="1"/>
    <col min="1411" max="1411" width="12.54296875" style="3" bestFit="1" customWidth="1"/>
    <col min="1412" max="1412" width="12.26953125" style="3" bestFit="1" customWidth="1"/>
    <col min="1413" max="1413" width="12.54296875" style="3" bestFit="1" customWidth="1"/>
    <col min="1414" max="1414" width="12.26953125" style="3" bestFit="1" customWidth="1"/>
    <col min="1415" max="1415" width="12.54296875" style="3" bestFit="1" customWidth="1"/>
    <col min="1416" max="1416" width="12.26953125" style="3" bestFit="1" customWidth="1"/>
    <col min="1417" max="1417" width="12.54296875" style="3" bestFit="1" customWidth="1"/>
    <col min="1418" max="1418" width="12.26953125" style="3" bestFit="1" customWidth="1"/>
    <col min="1419" max="1419" width="12.54296875" style="3" bestFit="1" customWidth="1"/>
    <col min="1420" max="1420" width="12.26953125" style="3" bestFit="1" customWidth="1"/>
    <col min="1421" max="1421" width="12.54296875" style="3" bestFit="1" customWidth="1"/>
    <col min="1422" max="1422" width="12.26953125" style="3" bestFit="1" customWidth="1"/>
    <col min="1423" max="1423" width="12.54296875" style="3" bestFit="1" customWidth="1"/>
    <col min="1424" max="1424" width="12.26953125" style="3" bestFit="1" customWidth="1"/>
    <col min="1425" max="1425" width="12.54296875" style="3" bestFit="1" customWidth="1"/>
    <col min="1426" max="1426" width="12.26953125" style="3" bestFit="1" customWidth="1"/>
    <col min="1427" max="1427" width="12.54296875" style="3" bestFit="1" customWidth="1"/>
    <col min="1428" max="1428" width="12.26953125" style="3" bestFit="1" customWidth="1"/>
    <col min="1429" max="1429" width="12.54296875" style="3" bestFit="1" customWidth="1"/>
    <col min="1430" max="1430" width="12.26953125" style="3" bestFit="1" customWidth="1"/>
    <col min="1431" max="1431" width="12.54296875" style="3" bestFit="1" customWidth="1"/>
    <col min="1432" max="1432" width="12.26953125" style="3" bestFit="1" customWidth="1"/>
    <col min="1433" max="1433" width="12.54296875" style="3" bestFit="1" customWidth="1"/>
    <col min="1434" max="1434" width="12.26953125" style="3" bestFit="1" customWidth="1"/>
    <col min="1435" max="1435" width="12.54296875" style="3" bestFit="1" customWidth="1"/>
    <col min="1436" max="1436" width="12.26953125" style="3" bestFit="1" customWidth="1"/>
    <col min="1437" max="1437" width="12.54296875" style="3" bestFit="1" customWidth="1"/>
    <col min="1438" max="1438" width="12.26953125" style="3" bestFit="1" customWidth="1"/>
    <col min="1439" max="1439" width="12.54296875" style="3" bestFit="1" customWidth="1"/>
    <col min="1440" max="1440" width="12.26953125" style="3" bestFit="1" customWidth="1"/>
    <col min="1441" max="1441" width="12.54296875" style="3" bestFit="1" customWidth="1"/>
    <col min="1442" max="1442" width="12.26953125" style="3" bestFit="1" customWidth="1"/>
    <col min="1443" max="1443" width="12.54296875" style="3" bestFit="1" customWidth="1"/>
    <col min="1444" max="1444" width="12.26953125" style="3" bestFit="1" customWidth="1"/>
    <col min="1445" max="1445" width="12.54296875" style="3" bestFit="1" customWidth="1"/>
    <col min="1446" max="1446" width="12.26953125" style="3" bestFit="1" customWidth="1"/>
    <col min="1447" max="1447" width="12.54296875" style="3" bestFit="1" customWidth="1"/>
    <col min="1448" max="1448" width="12.26953125" style="3" bestFit="1" customWidth="1"/>
    <col min="1449" max="1449" width="12.54296875" style="3" bestFit="1" customWidth="1"/>
    <col min="1450" max="1450" width="12.26953125" style="3" bestFit="1" customWidth="1"/>
    <col min="1451" max="1451" width="12.54296875" style="3" bestFit="1" customWidth="1"/>
    <col min="1452" max="1452" width="12.26953125" style="3" bestFit="1" customWidth="1"/>
    <col min="1453" max="1453" width="12.54296875" style="3" bestFit="1" customWidth="1"/>
    <col min="1454" max="1454" width="12.26953125" style="3" bestFit="1" customWidth="1"/>
    <col min="1455" max="1455" width="12.54296875" style="3" bestFit="1" customWidth="1"/>
    <col min="1456" max="1456" width="12.26953125" style="3" bestFit="1" customWidth="1"/>
    <col min="1457" max="1457" width="12.54296875" style="3" bestFit="1" customWidth="1"/>
    <col min="1458" max="1458" width="12.26953125" style="3" bestFit="1" customWidth="1"/>
    <col min="1459" max="1459" width="12.54296875" style="3" bestFit="1" customWidth="1"/>
    <col min="1460" max="1460" width="12.26953125" style="3" bestFit="1" customWidth="1"/>
    <col min="1461" max="1461" width="12.54296875" style="3" bestFit="1" customWidth="1"/>
    <col min="1462" max="1462" width="12.26953125" style="3" bestFit="1" customWidth="1"/>
    <col min="1463" max="1463" width="12.54296875" style="3" bestFit="1" customWidth="1"/>
    <col min="1464" max="1464" width="12.26953125" style="3" bestFit="1" customWidth="1"/>
    <col min="1465" max="1465" width="12.54296875" style="3" bestFit="1" customWidth="1"/>
    <col min="1466" max="1466" width="12.26953125" style="3" bestFit="1" customWidth="1"/>
    <col min="1467" max="1467" width="12.54296875" style="3" bestFit="1" customWidth="1"/>
    <col min="1468" max="1468" width="12.26953125" style="3" bestFit="1" customWidth="1"/>
    <col min="1469" max="1469" width="12.54296875" style="3" bestFit="1" customWidth="1"/>
    <col min="1470" max="1470" width="12.26953125" style="3" bestFit="1" customWidth="1"/>
    <col min="1471" max="1471" width="12.54296875" style="3" bestFit="1" customWidth="1"/>
    <col min="1472" max="1472" width="12.26953125" style="3" bestFit="1" customWidth="1"/>
    <col min="1473" max="1473" width="12.54296875" style="3" bestFit="1" customWidth="1"/>
    <col min="1474" max="1474" width="12.26953125" style="3" bestFit="1" customWidth="1"/>
    <col min="1475" max="1475" width="12.54296875" style="3" bestFit="1" customWidth="1"/>
    <col min="1476" max="1476" width="12.26953125" style="3" bestFit="1" customWidth="1"/>
    <col min="1477" max="1477" width="12.54296875" style="3" bestFit="1" customWidth="1"/>
    <col min="1478" max="1478" width="12.26953125" style="3" bestFit="1" customWidth="1"/>
    <col min="1479" max="1479" width="12.54296875" style="3" bestFit="1" customWidth="1"/>
    <col min="1480" max="1480" width="12.26953125" style="3" bestFit="1" customWidth="1"/>
    <col min="1481" max="1481" width="12.54296875" style="3" bestFit="1" customWidth="1"/>
    <col min="1482" max="1482" width="12.26953125" style="3" bestFit="1" customWidth="1"/>
    <col min="1483" max="1483" width="12.54296875" style="3" bestFit="1" customWidth="1"/>
    <col min="1484" max="1484" width="12.26953125" style="3" bestFit="1" customWidth="1"/>
    <col min="1485" max="1485" width="12.54296875" style="3" bestFit="1" customWidth="1"/>
    <col min="1486" max="1486" width="12.26953125" style="3" bestFit="1" customWidth="1"/>
    <col min="1487" max="1487" width="12.54296875" style="3" bestFit="1" customWidth="1"/>
    <col min="1488" max="1488" width="12.26953125" style="3" bestFit="1" customWidth="1"/>
    <col min="1489" max="1489" width="12.54296875" style="3" bestFit="1" customWidth="1"/>
    <col min="1490" max="1490" width="12.26953125" style="3" bestFit="1" customWidth="1"/>
    <col min="1491" max="1491" width="12.54296875" style="3" bestFit="1" customWidth="1"/>
    <col min="1492" max="1492" width="12.26953125" style="3" bestFit="1" customWidth="1"/>
    <col min="1493" max="1493" width="12.54296875" style="3" bestFit="1" customWidth="1"/>
    <col min="1494" max="1494" width="12.26953125" style="3" bestFit="1" customWidth="1"/>
    <col min="1495" max="1495" width="12.54296875" style="3" bestFit="1" customWidth="1"/>
    <col min="1496" max="1496" width="12.26953125" style="3" bestFit="1" customWidth="1"/>
    <col min="1497" max="1497" width="12.54296875" style="3" bestFit="1" customWidth="1"/>
    <col min="1498" max="1498" width="12.26953125" style="3" bestFit="1" customWidth="1"/>
    <col min="1499" max="1499" width="12.54296875" style="3" bestFit="1" customWidth="1"/>
    <col min="1500" max="1500" width="12.26953125" style="3" bestFit="1" customWidth="1"/>
    <col min="1501" max="1501" width="12.54296875" style="3" bestFit="1" customWidth="1"/>
    <col min="1502" max="1502" width="12.26953125" style="3" bestFit="1" customWidth="1"/>
    <col min="1503" max="1503" width="12.54296875" style="3" bestFit="1" customWidth="1"/>
    <col min="1504" max="1504" width="12.26953125" style="3" bestFit="1" customWidth="1"/>
    <col min="1505" max="1505" width="12.54296875" style="3" bestFit="1" customWidth="1"/>
    <col min="1506" max="1506" width="12.26953125" style="3" bestFit="1" customWidth="1"/>
    <col min="1507" max="1507" width="12.54296875" style="3" bestFit="1" customWidth="1"/>
    <col min="1508" max="1508" width="12.26953125" style="3" bestFit="1" customWidth="1"/>
    <col min="1509" max="1509" width="12.54296875" style="3" bestFit="1" customWidth="1"/>
    <col min="1510" max="1510" width="12.26953125" style="3" bestFit="1" customWidth="1"/>
    <col min="1511" max="1511" width="12.54296875" style="3" bestFit="1" customWidth="1"/>
    <col min="1512" max="1512" width="12.26953125" style="3" bestFit="1" customWidth="1"/>
    <col min="1513" max="1513" width="12.54296875" style="3" bestFit="1" customWidth="1"/>
    <col min="1514" max="1514" width="12.26953125" style="3" bestFit="1" customWidth="1"/>
    <col min="1515" max="1515" width="12.54296875" style="3" bestFit="1" customWidth="1"/>
    <col min="1516" max="1516" width="12.26953125" style="3" bestFit="1" customWidth="1"/>
    <col min="1517" max="1517" width="12.54296875" style="3" bestFit="1" customWidth="1"/>
    <col min="1518" max="1518" width="12.26953125" style="3" bestFit="1" customWidth="1"/>
    <col min="1519" max="1519" width="12.54296875" style="3" bestFit="1" customWidth="1"/>
    <col min="1520" max="1520" width="12.26953125" style="3" bestFit="1" customWidth="1"/>
    <col min="1521" max="1521" width="12.54296875" style="3" bestFit="1" customWidth="1"/>
    <col min="1522" max="1522" width="12.26953125" style="3" bestFit="1" customWidth="1"/>
    <col min="1523" max="1523" width="12.54296875" style="3" bestFit="1" customWidth="1"/>
    <col min="1524" max="1524" width="12.26953125" style="3" bestFit="1" customWidth="1"/>
    <col min="1525" max="1525" width="12.54296875" style="3" bestFit="1" customWidth="1"/>
    <col min="1526" max="1526" width="12.26953125" style="3" bestFit="1" customWidth="1"/>
    <col min="1527" max="1527" width="12.54296875" style="3" bestFit="1" customWidth="1"/>
    <col min="1528" max="1528" width="12.26953125" style="3" bestFit="1" customWidth="1"/>
    <col min="1529" max="1529" width="12.54296875" style="3" bestFit="1" customWidth="1"/>
    <col min="1530" max="1530" width="12.26953125" style="3" bestFit="1" customWidth="1"/>
    <col min="1531" max="1531" width="12.54296875" style="3" bestFit="1" customWidth="1"/>
    <col min="1532" max="1532" width="12.26953125" style="3" bestFit="1" customWidth="1"/>
    <col min="1533" max="1533" width="12.54296875" style="3" bestFit="1" customWidth="1"/>
    <col min="1534" max="1534" width="12.26953125" style="3" bestFit="1" customWidth="1"/>
    <col min="1535" max="1535" width="12.54296875" style="3" bestFit="1" customWidth="1"/>
    <col min="1536" max="1536" width="12.26953125" style="3" bestFit="1" customWidth="1"/>
    <col min="1537" max="1537" width="12.54296875" style="3" bestFit="1" customWidth="1"/>
    <col min="1538" max="1538" width="12.26953125" style="3" bestFit="1" customWidth="1"/>
    <col min="1539" max="1539" width="12.54296875" style="3" bestFit="1" customWidth="1"/>
    <col min="1540" max="1540" width="12.26953125" style="3" bestFit="1" customWidth="1"/>
    <col min="1541" max="1541" width="12.54296875" style="3" bestFit="1" customWidth="1"/>
    <col min="1542" max="1542" width="12.26953125" style="3" bestFit="1" customWidth="1"/>
    <col min="1543" max="1543" width="12.54296875" style="3" bestFit="1" customWidth="1"/>
    <col min="1544" max="1544" width="12.26953125" style="3" bestFit="1" customWidth="1"/>
    <col min="1545" max="1545" width="12.54296875" style="3" bestFit="1" customWidth="1"/>
    <col min="1546" max="1546" width="12.26953125" style="3" bestFit="1" customWidth="1"/>
    <col min="1547" max="1547" width="12.54296875" style="3" bestFit="1" customWidth="1"/>
    <col min="1548" max="1548" width="12.26953125" style="3" bestFit="1" customWidth="1"/>
    <col min="1549" max="1549" width="12.54296875" style="3" bestFit="1" customWidth="1"/>
    <col min="1550" max="1550" width="12.26953125" style="3" bestFit="1" customWidth="1"/>
    <col min="1551" max="1551" width="12.54296875" style="3" bestFit="1" customWidth="1"/>
    <col min="1552" max="1552" width="12.26953125" style="3" bestFit="1" customWidth="1"/>
    <col min="1553" max="1553" width="12.54296875" style="3" bestFit="1" customWidth="1"/>
    <col min="1554" max="1554" width="12.26953125" style="3" bestFit="1" customWidth="1"/>
    <col min="1555" max="1555" width="12.54296875" style="3" bestFit="1" customWidth="1"/>
    <col min="1556" max="1556" width="12.26953125" style="3" bestFit="1" customWidth="1"/>
    <col min="1557" max="1557" width="12.54296875" style="3" bestFit="1" customWidth="1"/>
    <col min="1558" max="1558" width="12.26953125" style="3" bestFit="1" customWidth="1"/>
    <col min="1559" max="1559" width="12.54296875" style="3" bestFit="1" customWidth="1"/>
    <col min="1560" max="1560" width="12.26953125" style="3" bestFit="1" customWidth="1"/>
    <col min="1561" max="1561" width="12.54296875" style="3" bestFit="1" customWidth="1"/>
    <col min="1562" max="1562" width="12.26953125" style="3" bestFit="1" customWidth="1"/>
    <col min="1563" max="1563" width="12.54296875" style="3" bestFit="1" customWidth="1"/>
    <col min="1564" max="1564" width="12.26953125" style="3" bestFit="1" customWidth="1"/>
    <col min="1565" max="1565" width="12.54296875" style="3" bestFit="1" customWidth="1"/>
    <col min="1566" max="1566" width="12.26953125" style="3" bestFit="1" customWidth="1"/>
    <col min="1567" max="1567" width="12.54296875" style="3" bestFit="1" customWidth="1"/>
    <col min="1568" max="1568" width="12.26953125" style="3" bestFit="1" customWidth="1"/>
    <col min="1569" max="1569" width="12.54296875" style="3" bestFit="1" customWidth="1"/>
    <col min="1570" max="1570" width="12.26953125" style="3" bestFit="1" customWidth="1"/>
    <col min="1571" max="1571" width="12.54296875" style="3" bestFit="1" customWidth="1"/>
    <col min="1572" max="1572" width="12.26953125" style="3" bestFit="1" customWidth="1"/>
    <col min="1573" max="1573" width="12.54296875" style="3" bestFit="1" customWidth="1"/>
    <col min="1574" max="1574" width="12.26953125" style="3" bestFit="1" customWidth="1"/>
    <col min="1575" max="1575" width="12.54296875" style="3" bestFit="1" customWidth="1"/>
    <col min="1576" max="1576" width="12.26953125" style="3" bestFit="1" customWidth="1"/>
    <col min="1577" max="1577" width="12.54296875" style="3" bestFit="1" customWidth="1"/>
    <col min="1578" max="1578" width="12.26953125" style="3" bestFit="1" customWidth="1"/>
    <col min="1579" max="1579" width="12.54296875" style="3" bestFit="1" customWidth="1"/>
    <col min="1580" max="1580" width="12.26953125" style="3" bestFit="1" customWidth="1"/>
    <col min="1581" max="1581" width="12.54296875" style="3" bestFit="1" customWidth="1"/>
    <col min="1582" max="1582" width="12.26953125" style="3" bestFit="1" customWidth="1"/>
    <col min="1583" max="1583" width="12.54296875" style="3" bestFit="1" customWidth="1"/>
    <col min="1584" max="1584" width="12.26953125" style="3" bestFit="1" customWidth="1"/>
    <col min="1585" max="1585" width="12.54296875" style="3" bestFit="1" customWidth="1"/>
    <col min="1586" max="1586" width="12.26953125" style="3" bestFit="1" customWidth="1"/>
    <col min="1587" max="1587" width="12.54296875" style="3" bestFit="1" customWidth="1"/>
    <col min="1588" max="1588" width="12.26953125" style="3" bestFit="1" customWidth="1"/>
    <col min="1589" max="1589" width="12.54296875" style="3" bestFit="1" customWidth="1"/>
    <col min="1590" max="1590" width="12.26953125" style="3" bestFit="1" customWidth="1"/>
    <col min="1591" max="1591" width="12.54296875" style="3" bestFit="1" customWidth="1"/>
    <col min="1592" max="1592" width="12.26953125" style="3" bestFit="1" customWidth="1"/>
    <col min="1593" max="1593" width="12.54296875" style="3" bestFit="1" customWidth="1"/>
    <col min="1594" max="1594" width="12.26953125" style="3" bestFit="1" customWidth="1"/>
    <col min="1595" max="1595" width="12.54296875" style="3" bestFit="1" customWidth="1"/>
    <col min="1596" max="1596" width="12.26953125" style="3" bestFit="1" customWidth="1"/>
    <col min="1597" max="1597" width="12.54296875" style="3" bestFit="1" customWidth="1"/>
    <col min="1598" max="1598" width="12.26953125" style="3" bestFit="1" customWidth="1"/>
    <col min="1599" max="1599" width="12.54296875" style="3" bestFit="1" customWidth="1"/>
    <col min="1600" max="1600" width="12.26953125" style="3" bestFit="1" customWidth="1"/>
    <col min="1601" max="1601" width="12.54296875" style="3" bestFit="1" customWidth="1"/>
    <col min="1602" max="1602" width="12.26953125" style="3" bestFit="1" customWidth="1"/>
    <col min="1603" max="1603" width="12.54296875" style="3" bestFit="1" customWidth="1"/>
    <col min="1604" max="1604" width="12.26953125" style="3" bestFit="1" customWidth="1"/>
    <col min="1605" max="1605" width="12.54296875" style="3" bestFit="1" customWidth="1"/>
    <col min="1606" max="1606" width="12.26953125" style="3" bestFit="1" customWidth="1"/>
    <col min="1607" max="1607" width="12.54296875" style="3" bestFit="1" customWidth="1"/>
    <col min="1608" max="1608" width="12.26953125" style="3" bestFit="1" customWidth="1"/>
    <col min="1609" max="1609" width="12.54296875" style="3" bestFit="1" customWidth="1"/>
    <col min="1610" max="1610" width="12.26953125" style="3" bestFit="1" customWidth="1"/>
    <col min="1611" max="1611" width="12.54296875" style="3" bestFit="1" customWidth="1"/>
    <col min="1612" max="1612" width="12.26953125" style="3" bestFit="1" customWidth="1"/>
    <col min="1613" max="1613" width="12.54296875" style="3" bestFit="1" customWidth="1"/>
    <col min="1614" max="1614" width="12.26953125" style="3" bestFit="1" customWidth="1"/>
    <col min="1615" max="1615" width="12.54296875" style="3" bestFit="1" customWidth="1"/>
    <col min="1616" max="1616" width="12.26953125" style="3" bestFit="1" customWidth="1"/>
    <col min="1617" max="1617" width="12.54296875" style="3" bestFit="1" customWidth="1"/>
    <col min="1618" max="1618" width="12.26953125" style="3" bestFit="1" customWidth="1"/>
    <col min="1619" max="1619" width="12.54296875" style="3" bestFit="1" customWidth="1"/>
    <col min="1620" max="1620" width="12.26953125" style="3" bestFit="1" customWidth="1"/>
    <col min="1621" max="1621" width="12.54296875" style="3" bestFit="1" customWidth="1"/>
    <col min="1622" max="1622" width="12.26953125" style="3" bestFit="1" customWidth="1"/>
    <col min="1623" max="1623" width="12.54296875" style="3" bestFit="1" customWidth="1"/>
    <col min="1624" max="1624" width="12.26953125" style="3" bestFit="1" customWidth="1"/>
    <col min="1625" max="1625" width="12.54296875" style="3" bestFit="1" customWidth="1"/>
    <col min="1626" max="1626" width="12.26953125" style="3" bestFit="1" customWidth="1"/>
    <col min="1627" max="1627" width="12.54296875" style="3" bestFit="1" customWidth="1"/>
    <col min="1628" max="1628" width="12.26953125" style="3" bestFit="1" customWidth="1"/>
    <col min="1629" max="1629" width="12.54296875" style="3" bestFit="1" customWidth="1"/>
    <col min="1630" max="1630" width="12.26953125" style="3" bestFit="1" customWidth="1"/>
    <col min="1631" max="1631" width="12.54296875" style="3" bestFit="1" customWidth="1"/>
    <col min="1632" max="1632" width="12.26953125" style="3" bestFit="1" customWidth="1"/>
    <col min="1633" max="1633" width="12.54296875" style="3" bestFit="1" customWidth="1"/>
    <col min="1634" max="1634" width="12.26953125" style="3" bestFit="1" customWidth="1"/>
    <col min="1635" max="1635" width="12.54296875" style="3" bestFit="1" customWidth="1"/>
    <col min="1636" max="1636" width="12.26953125" style="3" bestFit="1" customWidth="1"/>
    <col min="1637" max="1637" width="12.54296875" style="3" bestFit="1" customWidth="1"/>
    <col min="1638" max="1638" width="12.26953125" style="3" bestFit="1" customWidth="1"/>
    <col min="1639" max="1639" width="12.54296875" style="3" bestFit="1" customWidth="1"/>
    <col min="1640" max="1640" width="12.26953125" style="3" bestFit="1" customWidth="1"/>
    <col min="1641" max="1641" width="12.54296875" style="3" bestFit="1" customWidth="1"/>
    <col min="1642" max="1642" width="12.26953125" style="3" bestFit="1" customWidth="1"/>
    <col min="1643" max="1643" width="12.54296875" style="3" bestFit="1" customWidth="1"/>
    <col min="1644" max="1644" width="12.26953125" style="3" bestFit="1" customWidth="1"/>
    <col min="1645" max="1645" width="12.54296875" style="3" bestFit="1" customWidth="1"/>
    <col min="1646" max="1646" width="12.26953125" style="3" bestFit="1" customWidth="1"/>
    <col min="1647" max="1647" width="12.54296875" style="3" bestFit="1" customWidth="1"/>
    <col min="1648" max="1648" width="12.26953125" style="3" bestFit="1" customWidth="1"/>
    <col min="1649" max="1649" width="12.54296875" style="3" bestFit="1" customWidth="1"/>
    <col min="1650" max="1650" width="12.26953125" style="3" bestFit="1" customWidth="1"/>
    <col min="1651" max="1651" width="12.54296875" style="3" bestFit="1" customWidth="1"/>
    <col min="1652" max="1652" width="12.26953125" style="3" bestFit="1" customWidth="1"/>
    <col min="1653" max="1653" width="12.54296875" style="3" bestFit="1" customWidth="1"/>
    <col min="1654" max="1654" width="12.26953125" style="3" bestFit="1" customWidth="1"/>
    <col min="1655" max="1655" width="12.54296875" style="3" bestFit="1" customWidth="1"/>
    <col min="1656" max="1656" width="12.26953125" style="3" bestFit="1" customWidth="1"/>
    <col min="1657" max="1657" width="12.54296875" style="3" bestFit="1" customWidth="1"/>
    <col min="1658" max="1658" width="12.26953125" style="3" bestFit="1" customWidth="1"/>
    <col min="1659" max="1659" width="12.54296875" style="3" bestFit="1" customWidth="1"/>
    <col min="1660" max="1660" width="12.26953125" style="3" bestFit="1" customWidth="1"/>
    <col min="1661" max="1661" width="12.54296875" style="3" bestFit="1" customWidth="1"/>
    <col min="1662" max="1662" width="12.26953125" style="3" bestFit="1" customWidth="1"/>
    <col min="1663" max="1663" width="12.54296875" style="3" bestFit="1" customWidth="1"/>
    <col min="1664" max="1664" width="12.26953125" style="3" bestFit="1" customWidth="1"/>
    <col min="1665" max="1665" width="12.54296875" style="3" bestFit="1" customWidth="1"/>
    <col min="1666" max="1666" width="12.26953125" style="3" bestFit="1" customWidth="1"/>
    <col min="1667" max="1667" width="12.54296875" style="3" bestFit="1" customWidth="1"/>
    <col min="1668" max="1668" width="12.26953125" style="3" bestFit="1" customWidth="1"/>
    <col min="1669" max="1669" width="12.54296875" style="3" bestFit="1" customWidth="1"/>
    <col min="1670" max="1670" width="12.26953125" style="3" bestFit="1" customWidth="1"/>
    <col min="1671" max="1671" width="12.54296875" style="3" bestFit="1" customWidth="1"/>
    <col min="1672" max="1672" width="12.26953125" style="3" bestFit="1" customWidth="1"/>
    <col min="1673" max="1673" width="12.54296875" style="3" bestFit="1" customWidth="1"/>
    <col min="1674" max="1674" width="12.26953125" style="3" bestFit="1" customWidth="1"/>
    <col min="1675" max="1675" width="12.54296875" style="3" bestFit="1" customWidth="1"/>
    <col min="1676" max="1676" width="12.26953125" style="3" bestFit="1" customWidth="1"/>
    <col min="1677" max="1677" width="12.54296875" style="3" bestFit="1" customWidth="1"/>
    <col min="1678" max="1678" width="12.26953125" style="3" bestFit="1" customWidth="1"/>
    <col min="1679" max="1679" width="12.54296875" style="3" bestFit="1" customWidth="1"/>
    <col min="1680" max="1680" width="12.26953125" style="3" bestFit="1" customWidth="1"/>
    <col min="1681" max="1681" width="12.54296875" style="3" bestFit="1" customWidth="1"/>
    <col min="1682" max="1682" width="12.26953125" style="3" bestFit="1" customWidth="1"/>
    <col min="1683" max="1683" width="12.54296875" style="3" bestFit="1" customWidth="1"/>
    <col min="1684" max="1684" width="12.26953125" style="3" bestFit="1" customWidth="1"/>
    <col min="1685" max="1685" width="12.54296875" style="3" bestFit="1" customWidth="1"/>
    <col min="1686" max="1686" width="12.26953125" style="3" bestFit="1" customWidth="1"/>
    <col min="1687" max="1687" width="12.54296875" style="3" bestFit="1" customWidth="1"/>
    <col min="1688" max="1688" width="12.26953125" style="3" bestFit="1" customWidth="1"/>
    <col min="1689" max="1689" width="12.54296875" style="3" bestFit="1" customWidth="1"/>
    <col min="1690" max="1690" width="12.26953125" style="3" bestFit="1" customWidth="1"/>
    <col min="1691" max="1691" width="12.54296875" style="3" bestFit="1" customWidth="1"/>
    <col min="1692" max="1692" width="12.26953125" style="3" bestFit="1" customWidth="1"/>
    <col min="1693" max="1693" width="12.54296875" style="3" bestFit="1" customWidth="1"/>
    <col min="1694" max="1694" width="12.26953125" style="3" bestFit="1" customWidth="1"/>
    <col min="1695" max="1695" width="12.54296875" style="3" bestFit="1" customWidth="1"/>
    <col min="1696" max="1696" width="12.26953125" style="3" bestFit="1" customWidth="1"/>
    <col min="1697" max="1697" width="12.54296875" style="3" bestFit="1" customWidth="1"/>
    <col min="1698" max="1698" width="12.26953125" style="3" bestFit="1" customWidth="1"/>
    <col min="1699" max="1699" width="12.54296875" style="3" bestFit="1" customWidth="1"/>
    <col min="1700" max="1700" width="12.26953125" style="3" bestFit="1" customWidth="1"/>
    <col min="1701" max="1701" width="12.54296875" style="3" bestFit="1" customWidth="1"/>
    <col min="1702" max="1702" width="12.26953125" style="3" bestFit="1" customWidth="1"/>
    <col min="1703" max="1703" width="12.54296875" style="3" bestFit="1" customWidth="1"/>
    <col min="1704" max="1704" width="12.26953125" style="3" bestFit="1" customWidth="1"/>
    <col min="1705" max="1705" width="12.54296875" style="3" bestFit="1" customWidth="1"/>
    <col min="1706" max="1706" width="12.26953125" style="3" bestFit="1" customWidth="1"/>
    <col min="1707" max="1707" width="12.54296875" style="3" bestFit="1" customWidth="1"/>
    <col min="1708" max="1708" width="12.26953125" style="3" bestFit="1" customWidth="1"/>
    <col min="1709" max="1709" width="12.54296875" style="3" bestFit="1" customWidth="1"/>
    <col min="1710" max="1710" width="12.26953125" style="3" bestFit="1" customWidth="1"/>
    <col min="1711" max="1711" width="12.54296875" style="3" bestFit="1" customWidth="1"/>
    <col min="1712" max="1712" width="12.26953125" style="3" bestFit="1" customWidth="1"/>
    <col min="1713" max="1713" width="12.54296875" style="3" bestFit="1" customWidth="1"/>
    <col min="1714" max="1714" width="12.26953125" style="3" bestFit="1" customWidth="1"/>
    <col min="1715" max="1715" width="12.54296875" style="3" bestFit="1" customWidth="1"/>
    <col min="1716" max="1716" width="12.26953125" style="3" bestFit="1" customWidth="1"/>
    <col min="1717" max="1717" width="12.54296875" style="3" bestFit="1" customWidth="1"/>
    <col min="1718" max="1718" width="12.26953125" style="3" bestFit="1" customWidth="1"/>
    <col min="1719" max="1719" width="12.54296875" style="3" bestFit="1" customWidth="1"/>
    <col min="1720" max="1720" width="12.26953125" style="3" bestFit="1" customWidth="1"/>
    <col min="1721" max="1721" width="12.54296875" style="3" bestFit="1" customWidth="1"/>
    <col min="1722" max="1722" width="12.26953125" style="3" bestFit="1" customWidth="1"/>
    <col min="1723" max="1723" width="12.54296875" style="3" bestFit="1" customWidth="1"/>
    <col min="1724" max="1724" width="12.26953125" style="3" bestFit="1" customWidth="1"/>
    <col min="1725" max="1725" width="12.54296875" style="3" bestFit="1" customWidth="1"/>
    <col min="1726" max="1726" width="12.26953125" style="3" bestFit="1" customWidth="1"/>
    <col min="1727" max="1727" width="12.54296875" style="3" bestFit="1" customWidth="1"/>
    <col min="1728" max="1728" width="12.26953125" style="3" bestFit="1" customWidth="1"/>
    <col min="1729" max="1729" width="12.54296875" style="3" bestFit="1" customWidth="1"/>
    <col min="1730" max="1730" width="12.26953125" style="3" bestFit="1" customWidth="1"/>
    <col min="1731" max="1731" width="12.54296875" style="3" bestFit="1" customWidth="1"/>
    <col min="1732" max="1732" width="12.26953125" style="3" bestFit="1" customWidth="1"/>
    <col min="1733" max="1733" width="12.54296875" style="3" bestFit="1" customWidth="1"/>
    <col min="1734" max="1734" width="12.26953125" style="3" bestFit="1" customWidth="1"/>
    <col min="1735" max="1735" width="12.54296875" style="3" bestFit="1" customWidth="1"/>
    <col min="1736" max="1736" width="12.26953125" style="3" bestFit="1" customWidth="1"/>
    <col min="1737" max="1737" width="12.54296875" style="3" bestFit="1" customWidth="1"/>
    <col min="1738" max="1738" width="12.26953125" style="3" bestFit="1" customWidth="1"/>
    <col min="1739" max="1739" width="12.54296875" style="3" bestFit="1" customWidth="1"/>
    <col min="1740" max="1740" width="12.26953125" style="3" bestFit="1" customWidth="1"/>
    <col min="1741" max="1741" width="12.54296875" style="3" bestFit="1" customWidth="1"/>
    <col min="1742" max="1742" width="12.26953125" style="3" bestFit="1" customWidth="1"/>
    <col min="1743" max="1743" width="12.54296875" style="3" bestFit="1" customWidth="1"/>
    <col min="1744" max="1744" width="12.26953125" style="3" bestFit="1" customWidth="1"/>
    <col min="1745" max="1745" width="12.54296875" style="3" bestFit="1" customWidth="1"/>
    <col min="1746" max="1746" width="12.26953125" style="3" bestFit="1" customWidth="1"/>
    <col min="1747" max="1747" width="12.54296875" style="3" bestFit="1" customWidth="1"/>
    <col min="1748" max="1748" width="12.26953125" style="3" bestFit="1" customWidth="1"/>
    <col min="1749" max="1749" width="12.54296875" style="3" bestFit="1" customWidth="1"/>
    <col min="1750" max="1750" width="12.26953125" style="3" bestFit="1" customWidth="1"/>
    <col min="1751" max="1751" width="12.54296875" style="3" bestFit="1" customWidth="1"/>
    <col min="1752" max="1752" width="12.26953125" style="3" bestFit="1" customWidth="1"/>
    <col min="1753" max="1753" width="12.54296875" style="3" bestFit="1" customWidth="1"/>
    <col min="1754" max="1754" width="12.26953125" style="3" bestFit="1" customWidth="1"/>
    <col min="1755" max="1755" width="12.54296875" style="3" bestFit="1" customWidth="1"/>
    <col min="1756" max="1756" width="12.26953125" style="3" bestFit="1" customWidth="1"/>
    <col min="1757" max="1757" width="12.54296875" style="3" bestFit="1" customWidth="1"/>
    <col min="1758" max="1758" width="12.26953125" style="3" bestFit="1" customWidth="1"/>
    <col min="1759" max="1759" width="12.54296875" style="3" bestFit="1" customWidth="1"/>
    <col min="1760" max="1760" width="12.26953125" style="3" bestFit="1" customWidth="1"/>
    <col min="1761" max="1761" width="12.54296875" style="3" bestFit="1" customWidth="1"/>
    <col min="1762" max="1762" width="12.26953125" style="3" bestFit="1" customWidth="1"/>
    <col min="1763" max="1763" width="12.54296875" style="3" bestFit="1" customWidth="1"/>
    <col min="1764" max="1764" width="12.26953125" style="3" bestFit="1" customWidth="1"/>
    <col min="1765" max="1765" width="12.54296875" style="3" bestFit="1" customWidth="1"/>
    <col min="1766" max="1766" width="12.26953125" style="3" bestFit="1" customWidth="1"/>
    <col min="1767" max="1767" width="12.54296875" style="3" bestFit="1" customWidth="1"/>
    <col min="1768" max="1768" width="12.26953125" style="3" bestFit="1" customWidth="1"/>
    <col min="1769" max="1769" width="12.54296875" style="3" bestFit="1" customWidth="1"/>
    <col min="1770" max="1770" width="12.26953125" style="3" bestFit="1" customWidth="1"/>
    <col min="1771" max="1771" width="12.54296875" style="3" bestFit="1" customWidth="1"/>
    <col min="1772" max="1772" width="12.26953125" style="3" bestFit="1" customWidth="1"/>
    <col min="1773" max="1773" width="12.54296875" style="3" bestFit="1" customWidth="1"/>
    <col min="1774" max="1774" width="12.26953125" style="3" bestFit="1" customWidth="1"/>
    <col min="1775" max="1775" width="12.54296875" style="3" bestFit="1" customWidth="1"/>
    <col min="1776" max="1776" width="12.26953125" style="3" bestFit="1" customWidth="1"/>
    <col min="1777" max="1777" width="12.54296875" style="3" bestFit="1" customWidth="1"/>
    <col min="1778" max="1778" width="12.26953125" style="3" bestFit="1" customWidth="1"/>
    <col min="1779" max="1779" width="12.54296875" style="3" bestFit="1" customWidth="1"/>
    <col min="1780" max="1780" width="12.26953125" style="3" bestFit="1" customWidth="1"/>
    <col min="1781" max="1781" width="12.54296875" style="3" bestFit="1" customWidth="1"/>
    <col min="1782" max="1782" width="12.26953125" style="3" bestFit="1" customWidth="1"/>
    <col min="1783" max="1783" width="12.54296875" style="3" bestFit="1" customWidth="1"/>
    <col min="1784" max="1784" width="12.26953125" style="3" bestFit="1" customWidth="1"/>
    <col min="1785" max="1785" width="12.54296875" style="3" bestFit="1" customWidth="1"/>
    <col min="1786" max="1786" width="12.26953125" style="3" bestFit="1" customWidth="1"/>
    <col min="1787" max="1787" width="12.54296875" style="3" bestFit="1" customWidth="1"/>
    <col min="1788" max="1788" width="12.26953125" style="3" bestFit="1" customWidth="1"/>
    <col min="1789" max="1789" width="12.54296875" style="3" bestFit="1" customWidth="1"/>
    <col min="1790" max="1790" width="12.26953125" style="3" bestFit="1" customWidth="1"/>
    <col min="1791" max="1791" width="12.54296875" style="3" bestFit="1" customWidth="1"/>
    <col min="1792" max="1792" width="12.26953125" style="3" bestFit="1" customWidth="1"/>
    <col min="1793" max="1793" width="12.54296875" style="3" bestFit="1" customWidth="1"/>
    <col min="1794" max="1794" width="12.26953125" style="3" bestFit="1" customWidth="1"/>
    <col min="1795" max="1795" width="12.54296875" style="3" bestFit="1" customWidth="1"/>
    <col min="1796" max="1796" width="12.26953125" style="3" bestFit="1" customWidth="1"/>
    <col min="1797" max="1797" width="12.54296875" style="3" bestFit="1" customWidth="1"/>
    <col min="1798" max="1798" width="12.26953125" style="3" bestFit="1" customWidth="1"/>
    <col min="1799" max="1799" width="12.54296875" style="3" bestFit="1" customWidth="1"/>
    <col min="1800" max="1800" width="12.26953125" style="3" bestFit="1" customWidth="1"/>
    <col min="1801" max="1801" width="12.54296875" style="3" bestFit="1" customWidth="1"/>
    <col min="1802" max="1802" width="12.26953125" style="3" bestFit="1" customWidth="1"/>
    <col min="1803" max="1803" width="12.54296875" style="3" bestFit="1" customWidth="1"/>
    <col min="1804" max="1804" width="12.26953125" style="3" bestFit="1" customWidth="1"/>
    <col min="1805" max="1805" width="12.54296875" style="3" bestFit="1" customWidth="1"/>
    <col min="1806" max="1806" width="12.26953125" style="3" bestFit="1" customWidth="1"/>
    <col min="1807" max="1807" width="12.54296875" style="3" bestFit="1" customWidth="1"/>
    <col min="1808" max="1808" width="12.26953125" style="3" bestFit="1" customWidth="1"/>
    <col min="1809" max="1809" width="12.54296875" style="3" bestFit="1" customWidth="1"/>
    <col min="1810" max="1810" width="12.26953125" style="3" bestFit="1" customWidth="1"/>
    <col min="1811" max="1811" width="12.54296875" style="3" bestFit="1" customWidth="1"/>
    <col min="1812" max="1812" width="12.26953125" style="3" bestFit="1" customWidth="1"/>
    <col min="1813" max="1813" width="12.54296875" style="3" bestFit="1" customWidth="1"/>
    <col min="1814" max="1814" width="12.26953125" style="3" bestFit="1" customWidth="1"/>
    <col min="1815" max="1815" width="12.54296875" style="3" bestFit="1" customWidth="1"/>
    <col min="1816" max="1816" width="12.26953125" style="3" bestFit="1" customWidth="1"/>
    <col min="1817" max="1817" width="12.54296875" style="3" bestFit="1" customWidth="1"/>
    <col min="1818" max="1818" width="12.26953125" style="3" bestFit="1" customWidth="1"/>
    <col min="1819" max="1819" width="12.54296875" style="3" bestFit="1" customWidth="1"/>
    <col min="1820" max="1820" width="12.26953125" style="3" bestFit="1" customWidth="1"/>
    <col min="1821" max="1821" width="12.54296875" style="3" bestFit="1" customWidth="1"/>
    <col min="1822" max="1822" width="12.26953125" style="3" bestFit="1" customWidth="1"/>
    <col min="1823" max="1823" width="12.54296875" style="3" bestFit="1" customWidth="1"/>
    <col min="1824" max="1824" width="12.26953125" style="3" bestFit="1" customWidth="1"/>
    <col min="1825" max="1825" width="12.54296875" style="3" bestFit="1" customWidth="1"/>
    <col min="1826" max="1826" width="12.26953125" style="3" bestFit="1" customWidth="1"/>
    <col min="1827" max="1827" width="12.54296875" style="3" bestFit="1" customWidth="1"/>
    <col min="1828" max="1828" width="12.26953125" style="3" bestFit="1" customWidth="1"/>
    <col min="1829" max="1829" width="12.54296875" style="3" bestFit="1" customWidth="1"/>
    <col min="1830" max="1830" width="12.26953125" style="3" bestFit="1" customWidth="1"/>
    <col min="1831" max="1831" width="12.54296875" style="3" bestFit="1" customWidth="1"/>
    <col min="1832" max="1832" width="12.26953125" style="3" bestFit="1" customWidth="1"/>
    <col min="1833" max="1833" width="12.54296875" style="3" bestFit="1" customWidth="1"/>
    <col min="1834" max="1834" width="12.26953125" style="3" bestFit="1" customWidth="1"/>
    <col min="1835" max="1835" width="12.54296875" style="3" bestFit="1" customWidth="1"/>
    <col min="1836" max="1836" width="12.26953125" style="3" bestFit="1" customWidth="1"/>
    <col min="1837" max="1837" width="12.54296875" style="3" bestFit="1" customWidth="1"/>
    <col min="1838" max="1838" width="12.26953125" style="3" bestFit="1" customWidth="1"/>
    <col min="1839" max="1839" width="12.54296875" style="3" bestFit="1" customWidth="1"/>
    <col min="1840" max="1840" width="12.26953125" style="3" bestFit="1" customWidth="1"/>
    <col min="1841" max="1841" width="12.54296875" style="3" bestFit="1" customWidth="1"/>
    <col min="1842" max="1842" width="12.26953125" style="3" bestFit="1" customWidth="1"/>
    <col min="1843" max="1843" width="12.54296875" style="3" bestFit="1" customWidth="1"/>
    <col min="1844" max="1844" width="12.26953125" style="3" bestFit="1" customWidth="1"/>
    <col min="1845" max="1845" width="12.54296875" style="3" bestFit="1" customWidth="1"/>
    <col min="1846" max="1846" width="12.26953125" style="3" bestFit="1" customWidth="1"/>
    <col min="1847" max="1847" width="12.54296875" style="3" bestFit="1" customWidth="1"/>
    <col min="1848" max="1848" width="12.26953125" style="3" bestFit="1" customWidth="1"/>
    <col min="1849" max="1849" width="12.54296875" style="3" bestFit="1" customWidth="1"/>
    <col min="1850" max="1850" width="12.26953125" style="3" bestFit="1" customWidth="1"/>
    <col min="1851" max="1851" width="12.54296875" style="3" bestFit="1" customWidth="1"/>
    <col min="1852" max="1852" width="12.26953125" style="3" bestFit="1" customWidth="1"/>
    <col min="1853" max="1853" width="12.54296875" style="3" bestFit="1" customWidth="1"/>
    <col min="1854" max="1854" width="12.26953125" style="3" bestFit="1" customWidth="1"/>
    <col min="1855" max="1855" width="12.54296875" style="3" bestFit="1" customWidth="1"/>
    <col min="1856" max="1856" width="12.26953125" style="3" bestFit="1" customWidth="1"/>
    <col min="1857" max="1857" width="12.54296875" style="3" bestFit="1" customWidth="1"/>
    <col min="1858" max="1858" width="12.26953125" style="3" bestFit="1" customWidth="1"/>
    <col min="1859" max="1859" width="12.54296875" style="3" bestFit="1" customWidth="1"/>
    <col min="1860" max="1860" width="12.26953125" style="3" bestFit="1" customWidth="1"/>
    <col min="1861" max="1861" width="12.54296875" style="3" bestFit="1" customWidth="1"/>
    <col min="1862" max="1862" width="12.26953125" style="3" bestFit="1" customWidth="1"/>
    <col min="1863" max="1863" width="12.54296875" style="3" bestFit="1" customWidth="1"/>
    <col min="1864" max="1864" width="12.26953125" style="3" bestFit="1" customWidth="1"/>
    <col min="1865" max="1865" width="12.54296875" style="3" bestFit="1" customWidth="1"/>
    <col min="1866" max="1866" width="12.26953125" style="3" bestFit="1" customWidth="1"/>
    <col min="1867" max="1867" width="12.54296875" style="3" bestFit="1" customWidth="1"/>
    <col min="1868" max="1868" width="12.26953125" style="3" bestFit="1" customWidth="1"/>
    <col min="1869" max="1869" width="12.54296875" style="3" bestFit="1" customWidth="1"/>
    <col min="1870" max="1870" width="12.26953125" style="3" bestFit="1" customWidth="1"/>
    <col min="1871" max="1871" width="12.54296875" style="3" bestFit="1" customWidth="1"/>
    <col min="1872" max="1872" width="12.26953125" style="3" bestFit="1" customWidth="1"/>
    <col min="1873" max="1873" width="12.54296875" style="3" bestFit="1" customWidth="1"/>
    <col min="1874" max="1874" width="12.26953125" style="3" bestFit="1" customWidth="1"/>
    <col min="1875" max="1875" width="12.54296875" style="3" bestFit="1" customWidth="1"/>
    <col min="1876" max="1876" width="12.26953125" style="3" bestFit="1" customWidth="1"/>
    <col min="1877" max="1877" width="12.54296875" style="3" bestFit="1" customWidth="1"/>
    <col min="1878" max="1878" width="12.26953125" style="3" bestFit="1" customWidth="1"/>
    <col min="1879" max="1879" width="12.54296875" style="3" bestFit="1" customWidth="1"/>
    <col min="1880" max="1880" width="12.26953125" style="3" bestFit="1" customWidth="1"/>
    <col min="1881" max="1881" width="12.54296875" style="3" bestFit="1" customWidth="1"/>
    <col min="1882" max="1882" width="12.26953125" style="3" bestFit="1" customWidth="1"/>
    <col min="1883" max="1883" width="12.54296875" style="3" bestFit="1" customWidth="1"/>
    <col min="1884" max="1884" width="12.26953125" style="3" bestFit="1" customWidth="1"/>
    <col min="1885" max="1885" width="12.54296875" style="3" bestFit="1" customWidth="1"/>
    <col min="1886" max="1886" width="12.26953125" style="3" bestFit="1" customWidth="1"/>
    <col min="1887" max="1887" width="12.54296875" style="3" bestFit="1" customWidth="1"/>
    <col min="1888" max="1888" width="12.26953125" style="3" bestFit="1" customWidth="1"/>
    <col min="1889" max="1889" width="12.54296875" style="3" bestFit="1" customWidth="1"/>
    <col min="1890" max="1890" width="12.26953125" style="3" bestFit="1" customWidth="1"/>
    <col min="1891" max="1891" width="12.54296875" style="3" bestFit="1" customWidth="1"/>
    <col min="1892" max="1892" width="12.26953125" style="3" bestFit="1" customWidth="1"/>
    <col min="1893" max="1893" width="12.54296875" style="3" bestFit="1" customWidth="1"/>
    <col min="1894" max="1894" width="12.26953125" style="3" bestFit="1" customWidth="1"/>
    <col min="1895" max="1895" width="12.54296875" style="3" bestFit="1" customWidth="1"/>
    <col min="1896" max="1896" width="12.26953125" style="3" bestFit="1" customWidth="1"/>
    <col min="1897" max="1897" width="12.54296875" style="3" bestFit="1" customWidth="1"/>
    <col min="1898" max="1898" width="12.26953125" style="3" bestFit="1" customWidth="1"/>
    <col min="1899" max="1899" width="12.54296875" style="3" bestFit="1" customWidth="1"/>
    <col min="1900" max="1900" width="12.26953125" style="3" bestFit="1" customWidth="1"/>
    <col min="1901" max="1901" width="12.54296875" style="3" bestFit="1" customWidth="1"/>
    <col min="1902" max="1902" width="12.26953125" style="3" bestFit="1" customWidth="1"/>
    <col min="1903" max="1903" width="12.54296875" style="3" bestFit="1" customWidth="1"/>
    <col min="1904" max="1904" width="12.26953125" style="3" bestFit="1" customWidth="1"/>
    <col min="1905" max="1905" width="12.54296875" style="3" bestFit="1" customWidth="1"/>
    <col min="1906" max="1906" width="12.26953125" style="3" bestFit="1" customWidth="1"/>
    <col min="1907" max="1907" width="12.54296875" style="3" bestFit="1" customWidth="1"/>
    <col min="1908" max="1908" width="12.26953125" style="3" bestFit="1" customWidth="1"/>
    <col min="1909" max="1909" width="12.54296875" style="3" bestFit="1" customWidth="1"/>
    <col min="1910" max="1910" width="12.26953125" style="3" bestFit="1" customWidth="1"/>
    <col min="1911" max="1911" width="12.54296875" style="3" bestFit="1" customWidth="1"/>
    <col min="1912" max="1912" width="12.26953125" style="3" bestFit="1" customWidth="1"/>
    <col min="1913" max="1913" width="12.54296875" style="3" bestFit="1" customWidth="1"/>
    <col min="1914" max="1914" width="12.26953125" style="3" bestFit="1" customWidth="1"/>
    <col min="1915" max="1915" width="12.54296875" style="3" bestFit="1" customWidth="1"/>
    <col min="1916" max="1916" width="12.26953125" style="3" bestFit="1" customWidth="1"/>
    <col min="1917" max="1917" width="12.54296875" style="3" bestFit="1" customWidth="1"/>
    <col min="1918" max="1918" width="12.26953125" style="3" bestFit="1" customWidth="1"/>
    <col min="1919" max="1919" width="12.54296875" style="3" bestFit="1" customWidth="1"/>
    <col min="1920" max="1920" width="12.26953125" style="3" bestFit="1" customWidth="1"/>
    <col min="1921" max="1921" width="12.54296875" style="3" bestFit="1" customWidth="1"/>
    <col min="1922" max="1922" width="12.26953125" style="3" bestFit="1" customWidth="1"/>
    <col min="1923" max="1923" width="12.54296875" style="3" bestFit="1" customWidth="1"/>
    <col min="1924" max="1924" width="12.26953125" style="3" bestFit="1" customWidth="1"/>
    <col min="1925" max="1925" width="12.54296875" style="3" bestFit="1" customWidth="1"/>
    <col min="1926" max="1926" width="12.26953125" style="3" bestFit="1" customWidth="1"/>
    <col min="1927" max="1927" width="12.54296875" style="3" bestFit="1" customWidth="1"/>
    <col min="1928" max="1928" width="12.26953125" style="3" bestFit="1" customWidth="1"/>
    <col min="1929" max="1929" width="12.54296875" style="3" bestFit="1" customWidth="1"/>
    <col min="1930" max="1930" width="12.26953125" style="3" bestFit="1" customWidth="1"/>
    <col min="1931" max="1931" width="12.54296875" style="3" bestFit="1" customWidth="1"/>
    <col min="1932" max="1932" width="12.26953125" style="3" bestFit="1" customWidth="1"/>
    <col min="1933" max="1933" width="12.54296875" style="3" bestFit="1" customWidth="1"/>
    <col min="1934" max="1934" width="12.26953125" style="3" bestFit="1" customWidth="1"/>
    <col min="1935" max="1935" width="12.54296875" style="3" bestFit="1" customWidth="1"/>
    <col min="1936" max="1936" width="12.26953125" style="3" bestFit="1" customWidth="1"/>
    <col min="1937" max="1937" width="12.54296875" style="3" bestFit="1" customWidth="1"/>
    <col min="1938" max="1938" width="12.26953125" style="3" bestFit="1" customWidth="1"/>
    <col min="1939" max="1939" width="12.54296875" style="3" bestFit="1" customWidth="1"/>
    <col min="1940" max="1940" width="12.26953125" style="3" bestFit="1" customWidth="1"/>
    <col min="1941" max="1941" width="12.54296875" style="3" bestFit="1" customWidth="1"/>
    <col min="1942" max="1942" width="12.26953125" style="3" bestFit="1" customWidth="1"/>
    <col min="1943" max="1943" width="12.54296875" style="3" bestFit="1" customWidth="1"/>
    <col min="1944" max="1944" width="12.26953125" style="3" bestFit="1" customWidth="1"/>
    <col min="1945" max="1945" width="12.54296875" style="3" bestFit="1" customWidth="1"/>
    <col min="1946" max="1946" width="12.26953125" style="3" bestFit="1" customWidth="1"/>
    <col min="1947" max="1947" width="12.54296875" style="3" bestFit="1" customWidth="1"/>
    <col min="1948" max="1948" width="12.26953125" style="3" bestFit="1" customWidth="1"/>
    <col min="1949" max="1949" width="12.54296875" style="3" bestFit="1" customWidth="1"/>
    <col min="1950" max="1950" width="12.26953125" style="3" bestFit="1" customWidth="1"/>
    <col min="1951" max="1951" width="12.54296875" style="3" bestFit="1" customWidth="1"/>
    <col min="1952" max="1952" width="12.26953125" style="3" bestFit="1" customWidth="1"/>
    <col min="1953" max="1953" width="12.54296875" style="3" bestFit="1" customWidth="1"/>
    <col min="1954" max="1954" width="12.26953125" style="3" bestFit="1" customWidth="1"/>
    <col min="1955" max="1955" width="12.54296875" style="3" bestFit="1" customWidth="1"/>
    <col min="1956" max="1956" width="12.26953125" style="3" bestFit="1" customWidth="1"/>
    <col min="1957" max="1957" width="12.54296875" style="3" bestFit="1" customWidth="1"/>
    <col min="1958" max="1958" width="12.26953125" style="3" bestFit="1" customWidth="1"/>
    <col min="1959" max="1959" width="12.54296875" style="3" bestFit="1" customWidth="1"/>
    <col min="1960" max="1960" width="12.26953125" style="3" bestFit="1" customWidth="1"/>
    <col min="1961" max="1961" width="12.54296875" style="3" bestFit="1" customWidth="1"/>
    <col min="1962" max="1962" width="12.26953125" style="3" bestFit="1" customWidth="1"/>
    <col min="1963" max="1963" width="12.54296875" style="3" bestFit="1" customWidth="1"/>
    <col min="1964" max="1964" width="12.26953125" style="3" bestFit="1" customWidth="1"/>
    <col min="1965" max="1965" width="12.54296875" style="3" bestFit="1" customWidth="1"/>
    <col min="1966" max="1966" width="12.26953125" style="3" bestFit="1" customWidth="1"/>
    <col min="1967" max="1967" width="12.54296875" style="3" bestFit="1" customWidth="1"/>
    <col min="1968" max="1968" width="12.26953125" style="3" bestFit="1" customWidth="1"/>
    <col min="1969" max="1969" width="12.54296875" style="3" bestFit="1" customWidth="1"/>
    <col min="1970" max="1970" width="12.26953125" style="3" bestFit="1" customWidth="1"/>
    <col min="1971" max="1971" width="12.54296875" style="3" bestFit="1" customWidth="1"/>
    <col min="1972" max="1972" width="12.26953125" style="3" bestFit="1" customWidth="1"/>
    <col min="1973" max="1973" width="12.54296875" style="3" bestFit="1" customWidth="1"/>
    <col min="1974" max="1974" width="12.26953125" style="3" bestFit="1" customWidth="1"/>
    <col min="1975" max="1975" width="12.54296875" style="3" bestFit="1" customWidth="1"/>
    <col min="1976" max="1976" width="12.26953125" style="3" bestFit="1" customWidth="1"/>
    <col min="1977" max="1977" width="12.54296875" style="3" bestFit="1" customWidth="1"/>
    <col min="1978" max="1978" width="12.26953125" style="3" bestFit="1" customWidth="1"/>
    <col min="1979" max="1979" width="12.54296875" style="3" bestFit="1" customWidth="1"/>
    <col min="1980" max="1980" width="12.26953125" style="3" bestFit="1" customWidth="1"/>
    <col min="1981" max="1981" width="12.54296875" style="3" bestFit="1" customWidth="1"/>
    <col min="1982" max="1982" width="12.26953125" style="3" bestFit="1" customWidth="1"/>
    <col min="1983" max="1983" width="12.54296875" style="3" bestFit="1" customWidth="1"/>
    <col min="1984" max="1984" width="12.26953125" style="3" bestFit="1" customWidth="1"/>
    <col min="1985" max="1985" width="12.54296875" style="3" bestFit="1" customWidth="1"/>
    <col min="1986" max="1986" width="12.26953125" style="3" bestFit="1" customWidth="1"/>
    <col min="1987" max="1987" width="12.54296875" style="3" bestFit="1" customWidth="1"/>
    <col min="1988" max="1988" width="12.26953125" style="3" bestFit="1" customWidth="1"/>
    <col min="1989" max="1989" width="12.54296875" style="3" bestFit="1" customWidth="1"/>
    <col min="1990" max="1990" width="12.26953125" style="3" bestFit="1" customWidth="1"/>
    <col min="1991" max="1991" width="12.54296875" style="3" bestFit="1" customWidth="1"/>
    <col min="1992" max="1992" width="12.26953125" style="3" bestFit="1" customWidth="1"/>
    <col min="1993" max="1993" width="12.54296875" style="3" bestFit="1" customWidth="1"/>
    <col min="1994" max="1994" width="12.26953125" style="3" bestFit="1" customWidth="1"/>
    <col min="1995" max="1995" width="12.54296875" style="3" bestFit="1" customWidth="1"/>
    <col min="1996" max="1996" width="12.26953125" style="3" bestFit="1" customWidth="1"/>
    <col min="1997" max="1997" width="12.54296875" style="3" bestFit="1" customWidth="1"/>
    <col min="1998" max="1998" width="12.26953125" style="3" bestFit="1" customWidth="1"/>
    <col min="1999" max="1999" width="12.54296875" style="3" bestFit="1" customWidth="1"/>
    <col min="2000" max="2000" width="12.26953125" style="3" bestFit="1" customWidth="1"/>
    <col min="2001" max="2001" width="12.54296875" style="3" bestFit="1" customWidth="1"/>
    <col min="2002" max="2002" width="12.26953125" style="3" bestFit="1" customWidth="1"/>
    <col min="2003" max="2003" width="12.54296875" style="3" bestFit="1" customWidth="1"/>
    <col min="2004" max="2004" width="12.26953125" style="3" bestFit="1" customWidth="1"/>
    <col min="2005" max="2005" width="12.54296875" style="3" bestFit="1" customWidth="1"/>
    <col min="2006" max="2006" width="12.26953125" style="3" bestFit="1" customWidth="1"/>
    <col min="2007" max="2007" width="12.54296875" style="3" bestFit="1" customWidth="1"/>
    <col min="2008" max="2008" width="12.26953125" style="3" bestFit="1" customWidth="1"/>
    <col min="2009" max="2009" width="12.54296875" style="3" bestFit="1" customWidth="1"/>
    <col min="2010" max="2010" width="12.26953125" style="3" bestFit="1" customWidth="1"/>
    <col min="2011" max="2011" width="12.54296875" style="3" bestFit="1" customWidth="1"/>
    <col min="2012" max="2012" width="12.26953125" style="3" bestFit="1" customWidth="1"/>
    <col min="2013" max="2013" width="12.54296875" style="3" bestFit="1" customWidth="1"/>
    <col min="2014" max="2014" width="12.26953125" style="3" bestFit="1" customWidth="1"/>
    <col min="2015" max="2015" width="12.54296875" style="3" bestFit="1" customWidth="1"/>
    <col min="2016" max="2016" width="12.26953125" style="3" bestFit="1" customWidth="1"/>
    <col min="2017" max="2017" width="12.54296875" style="3" bestFit="1" customWidth="1"/>
    <col min="2018" max="2018" width="12.26953125" style="3" bestFit="1" customWidth="1"/>
    <col min="2019" max="2019" width="12.54296875" style="3" bestFit="1" customWidth="1"/>
    <col min="2020" max="2020" width="12.26953125" style="3" bestFit="1" customWidth="1"/>
    <col min="2021" max="2021" width="12.54296875" style="3" bestFit="1" customWidth="1"/>
    <col min="2022" max="2022" width="12.26953125" style="3" bestFit="1" customWidth="1"/>
    <col min="2023" max="2023" width="12.54296875" style="3" bestFit="1" customWidth="1"/>
    <col min="2024" max="2024" width="12.26953125" style="3" bestFit="1" customWidth="1"/>
    <col min="2025" max="2025" width="12.54296875" style="3" bestFit="1" customWidth="1"/>
    <col min="2026" max="2026" width="12.26953125" style="3" bestFit="1" customWidth="1"/>
    <col min="2027" max="2027" width="12.54296875" style="3" bestFit="1" customWidth="1"/>
    <col min="2028" max="2028" width="12.26953125" style="3" bestFit="1" customWidth="1"/>
    <col min="2029" max="2029" width="12.54296875" style="3" bestFit="1" customWidth="1"/>
    <col min="2030" max="2030" width="12.26953125" style="3" bestFit="1" customWidth="1"/>
    <col min="2031" max="2031" width="12.54296875" style="3" bestFit="1" customWidth="1"/>
    <col min="2032" max="2032" width="12.26953125" style="3" bestFit="1" customWidth="1"/>
    <col min="2033" max="2033" width="12.54296875" style="3" bestFit="1" customWidth="1"/>
    <col min="2034" max="2034" width="12.26953125" style="3" bestFit="1" customWidth="1"/>
    <col min="2035" max="2035" width="12.54296875" style="3" bestFit="1" customWidth="1"/>
    <col min="2036" max="2036" width="12.26953125" style="3" bestFit="1" customWidth="1"/>
    <col min="2037" max="2037" width="12.54296875" style="3" bestFit="1" customWidth="1"/>
    <col min="2038" max="2038" width="12.26953125" style="3" bestFit="1" customWidth="1"/>
    <col min="2039" max="2039" width="12.54296875" style="3" bestFit="1" customWidth="1"/>
    <col min="2040" max="2040" width="12.26953125" style="3" bestFit="1" customWidth="1"/>
    <col min="2041" max="2041" width="12.54296875" style="3" bestFit="1" customWidth="1"/>
    <col min="2042" max="2042" width="12.26953125" style="3" bestFit="1" customWidth="1"/>
    <col min="2043" max="2043" width="12.54296875" style="3" bestFit="1" customWidth="1"/>
    <col min="2044" max="2044" width="12.26953125" style="3" bestFit="1" customWidth="1"/>
    <col min="2045" max="2045" width="12.54296875" style="3" bestFit="1" customWidth="1"/>
    <col min="2046" max="2046" width="12.26953125" style="3" bestFit="1" customWidth="1"/>
    <col min="2047" max="2047" width="12.54296875" style="3" bestFit="1" customWidth="1"/>
    <col min="2048" max="2048" width="12.26953125" style="3" bestFit="1" customWidth="1"/>
    <col min="2049" max="2049" width="12.54296875" style="3" bestFit="1" customWidth="1"/>
    <col min="2050" max="2050" width="12.26953125" style="3" bestFit="1" customWidth="1"/>
    <col min="2051" max="2051" width="12.54296875" style="3" bestFit="1" customWidth="1"/>
    <col min="2052" max="2052" width="12.26953125" style="3" bestFit="1" customWidth="1"/>
    <col min="2053" max="2053" width="12.54296875" style="3" bestFit="1" customWidth="1"/>
    <col min="2054" max="2054" width="12.26953125" style="3" bestFit="1" customWidth="1"/>
    <col min="2055" max="2055" width="12.54296875" style="3" bestFit="1" customWidth="1"/>
    <col min="2056" max="2056" width="12.26953125" style="3" bestFit="1" customWidth="1"/>
    <col min="2057" max="2057" width="12.54296875" style="3" bestFit="1" customWidth="1"/>
    <col min="2058" max="2058" width="12.26953125" style="3" bestFit="1" customWidth="1"/>
    <col min="2059" max="2059" width="12.54296875" style="3" bestFit="1" customWidth="1"/>
    <col min="2060" max="2060" width="12.26953125" style="3" bestFit="1" customWidth="1"/>
    <col min="2061" max="2061" width="12.54296875" style="3" bestFit="1" customWidth="1"/>
    <col min="2062" max="2062" width="12.26953125" style="3" bestFit="1" customWidth="1"/>
    <col min="2063" max="2063" width="12.54296875" style="3" bestFit="1" customWidth="1"/>
    <col min="2064" max="2064" width="12.26953125" style="3" bestFit="1" customWidth="1"/>
    <col min="2065" max="2065" width="12.54296875" style="3" bestFit="1" customWidth="1"/>
    <col min="2066" max="2066" width="12.26953125" style="3" bestFit="1" customWidth="1"/>
    <col min="2067" max="2067" width="12.54296875" style="3" bestFit="1" customWidth="1"/>
    <col min="2068" max="2068" width="12.26953125" style="3" bestFit="1" customWidth="1"/>
    <col min="2069" max="2069" width="12.54296875" style="3" bestFit="1" customWidth="1"/>
    <col min="2070" max="2070" width="12.26953125" style="3" bestFit="1" customWidth="1"/>
    <col min="2071" max="2071" width="12.54296875" style="3" bestFit="1" customWidth="1"/>
    <col min="2072" max="2072" width="12.26953125" style="3" bestFit="1" customWidth="1"/>
    <col min="2073" max="2073" width="12.54296875" style="3" bestFit="1" customWidth="1"/>
    <col min="2074" max="2074" width="12.26953125" style="3" bestFit="1" customWidth="1"/>
    <col min="2075" max="2075" width="12.54296875" style="3" bestFit="1" customWidth="1"/>
    <col min="2076" max="2076" width="12.26953125" style="3" bestFit="1" customWidth="1"/>
    <col min="2077" max="2077" width="12.54296875" style="3" bestFit="1" customWidth="1"/>
    <col min="2078" max="2078" width="12.26953125" style="3" bestFit="1" customWidth="1"/>
    <col min="2079" max="2079" width="12.54296875" style="3" bestFit="1" customWidth="1"/>
    <col min="2080" max="2080" width="12.26953125" style="3" bestFit="1" customWidth="1"/>
    <col min="2081" max="2081" width="12.54296875" style="3" bestFit="1" customWidth="1"/>
    <col min="2082" max="2082" width="12.26953125" style="3" bestFit="1" customWidth="1"/>
    <col min="2083" max="2083" width="12.54296875" style="3" bestFit="1" customWidth="1"/>
    <col min="2084" max="2084" width="12.26953125" style="3" bestFit="1" customWidth="1"/>
    <col min="2085" max="2085" width="12.54296875" style="3" bestFit="1" customWidth="1"/>
    <col min="2086" max="2086" width="12.26953125" style="3" bestFit="1" customWidth="1"/>
    <col min="2087" max="2087" width="12.54296875" style="3" bestFit="1" customWidth="1"/>
    <col min="2088" max="2088" width="12.26953125" style="3" bestFit="1" customWidth="1"/>
    <col min="2089" max="2089" width="12.54296875" style="3" bestFit="1" customWidth="1"/>
    <col min="2090" max="2090" width="12.26953125" style="3" bestFit="1" customWidth="1"/>
    <col min="2091" max="2091" width="12.54296875" style="3" bestFit="1" customWidth="1"/>
    <col min="2092" max="2092" width="12.26953125" style="3" bestFit="1" customWidth="1"/>
    <col min="2093" max="2093" width="12.54296875" style="3" bestFit="1" customWidth="1"/>
    <col min="2094" max="2094" width="12.26953125" style="3" bestFit="1" customWidth="1"/>
    <col min="2095" max="2095" width="12.54296875" style="3" bestFit="1" customWidth="1"/>
    <col min="2096" max="2096" width="12.26953125" style="3" bestFit="1" customWidth="1"/>
    <col min="2097" max="2097" width="12.54296875" style="3" bestFit="1" customWidth="1"/>
    <col min="2098" max="2098" width="12.26953125" style="3" bestFit="1" customWidth="1"/>
    <col min="2099" max="2099" width="12.54296875" style="3" bestFit="1" customWidth="1"/>
    <col min="2100" max="2100" width="12.26953125" style="3" bestFit="1" customWidth="1"/>
    <col min="2101" max="2101" width="12.54296875" style="3" bestFit="1" customWidth="1"/>
    <col min="2102" max="2102" width="12.26953125" style="3" bestFit="1" customWidth="1"/>
    <col min="2103" max="2103" width="12.54296875" style="3" bestFit="1" customWidth="1"/>
    <col min="2104" max="2104" width="12.26953125" style="3" bestFit="1" customWidth="1"/>
    <col min="2105" max="2105" width="12.54296875" style="3" bestFit="1" customWidth="1"/>
    <col min="2106" max="2106" width="12.26953125" style="3" bestFit="1" customWidth="1"/>
    <col min="2107" max="2107" width="12.54296875" style="3" bestFit="1" customWidth="1"/>
    <col min="2108" max="2108" width="12.26953125" style="3" bestFit="1" customWidth="1"/>
    <col min="2109" max="2109" width="12.54296875" style="3" bestFit="1" customWidth="1"/>
    <col min="2110" max="2110" width="12.26953125" style="3" bestFit="1" customWidth="1"/>
    <col min="2111" max="2111" width="12.54296875" style="3" bestFit="1" customWidth="1"/>
    <col min="2112" max="2112" width="12.26953125" style="3" bestFit="1" customWidth="1"/>
    <col min="2113" max="2113" width="12.54296875" style="3" bestFit="1" customWidth="1"/>
    <col min="2114" max="2114" width="12.26953125" style="3" bestFit="1" customWidth="1"/>
    <col min="2115" max="2115" width="12.54296875" style="3" bestFit="1" customWidth="1"/>
    <col min="2116" max="2116" width="12.26953125" style="3" bestFit="1" customWidth="1"/>
    <col min="2117" max="2117" width="12.54296875" style="3" bestFit="1" customWidth="1"/>
    <col min="2118" max="2118" width="12.26953125" style="3" bestFit="1" customWidth="1"/>
    <col min="2119" max="2119" width="12.54296875" style="3" bestFit="1" customWidth="1"/>
    <col min="2120" max="2120" width="12.26953125" style="3" bestFit="1" customWidth="1"/>
    <col min="2121" max="2121" width="12.54296875" style="3" bestFit="1" customWidth="1"/>
    <col min="2122" max="2122" width="12.26953125" style="3" bestFit="1" customWidth="1"/>
    <col min="2123" max="2123" width="12.54296875" style="3" bestFit="1" customWidth="1"/>
    <col min="2124" max="2124" width="12.26953125" style="3" bestFit="1" customWidth="1"/>
    <col min="2125" max="2125" width="12.54296875" style="3" bestFit="1" customWidth="1"/>
    <col min="2126" max="2126" width="12.26953125" style="3" bestFit="1" customWidth="1"/>
    <col min="2127" max="2127" width="12.54296875" style="3" bestFit="1" customWidth="1"/>
    <col min="2128" max="2128" width="12.26953125" style="3" bestFit="1" customWidth="1"/>
    <col min="2129" max="2129" width="12.54296875" style="3" bestFit="1" customWidth="1"/>
    <col min="2130" max="2130" width="12.26953125" style="3" bestFit="1" customWidth="1"/>
    <col min="2131" max="2131" width="12.54296875" style="3" bestFit="1" customWidth="1"/>
    <col min="2132" max="2132" width="12.26953125" style="3" bestFit="1" customWidth="1"/>
    <col min="2133" max="2133" width="12.54296875" style="3" bestFit="1" customWidth="1"/>
    <col min="2134" max="2134" width="12.26953125" style="3" bestFit="1" customWidth="1"/>
    <col min="2135" max="2135" width="12.54296875" style="3" bestFit="1" customWidth="1"/>
    <col min="2136" max="2136" width="12.26953125" style="3" bestFit="1" customWidth="1"/>
    <col min="2137" max="2137" width="12.54296875" style="3" bestFit="1" customWidth="1"/>
    <col min="2138" max="2138" width="12.26953125" style="3" bestFit="1" customWidth="1"/>
    <col min="2139" max="2139" width="12.54296875" style="3" bestFit="1" customWidth="1"/>
    <col min="2140" max="2140" width="12.26953125" style="3" bestFit="1" customWidth="1"/>
    <col min="2141" max="2141" width="12.54296875" style="3" bestFit="1" customWidth="1"/>
    <col min="2142" max="2142" width="12.26953125" style="3" bestFit="1" customWidth="1"/>
    <col min="2143" max="2143" width="12.54296875" style="3" bestFit="1" customWidth="1"/>
    <col min="2144" max="2144" width="12.26953125" style="3" bestFit="1" customWidth="1"/>
    <col min="2145" max="2145" width="12.54296875" style="3" bestFit="1" customWidth="1"/>
    <col min="2146" max="2146" width="12.26953125" style="3" bestFit="1" customWidth="1"/>
    <col min="2147" max="2147" width="12.54296875" style="3" bestFit="1" customWidth="1"/>
    <col min="2148" max="2148" width="12.26953125" style="3" bestFit="1" customWidth="1"/>
    <col min="2149" max="2149" width="12.54296875" style="3" bestFit="1" customWidth="1"/>
    <col min="2150" max="2150" width="12.26953125" style="3" bestFit="1" customWidth="1"/>
    <col min="2151" max="2151" width="12.54296875" style="3" bestFit="1" customWidth="1"/>
    <col min="2152" max="2152" width="12.26953125" style="3" bestFit="1" customWidth="1"/>
    <col min="2153" max="2153" width="12.54296875" style="3" bestFit="1" customWidth="1"/>
    <col min="2154" max="2154" width="12.26953125" style="3" bestFit="1" customWidth="1"/>
    <col min="2155" max="2155" width="12.54296875" style="3" bestFit="1" customWidth="1"/>
    <col min="2156" max="2156" width="12.26953125" style="3" bestFit="1" customWidth="1"/>
    <col min="2157" max="2157" width="12.54296875" style="3" bestFit="1" customWidth="1"/>
    <col min="2158" max="2158" width="12.26953125" style="3" bestFit="1" customWidth="1"/>
    <col min="2159" max="2159" width="12.54296875" style="3" bestFit="1" customWidth="1"/>
    <col min="2160" max="2160" width="12.26953125" style="3" bestFit="1" customWidth="1"/>
    <col min="2161" max="2161" width="12.54296875" style="3" bestFit="1" customWidth="1"/>
    <col min="2162" max="2162" width="12.26953125" style="3" bestFit="1" customWidth="1"/>
    <col min="2163" max="2163" width="12.54296875" style="3" bestFit="1" customWidth="1"/>
    <col min="2164" max="2164" width="12.26953125" style="3" bestFit="1" customWidth="1"/>
    <col min="2165" max="2165" width="12.54296875" style="3" bestFit="1" customWidth="1"/>
    <col min="2166" max="2166" width="12.26953125" style="3" bestFit="1" customWidth="1"/>
    <col min="2167" max="2167" width="12.54296875" style="3" bestFit="1" customWidth="1"/>
    <col min="2168" max="2168" width="12.26953125" style="3" bestFit="1" customWidth="1"/>
    <col min="2169" max="2169" width="12.54296875" style="3" bestFit="1" customWidth="1"/>
    <col min="2170" max="2170" width="12.26953125" style="3" bestFit="1" customWidth="1"/>
    <col min="2171" max="2171" width="12.54296875" style="3" bestFit="1" customWidth="1"/>
    <col min="2172" max="2172" width="12.26953125" style="3" bestFit="1" customWidth="1"/>
    <col min="2173" max="2173" width="12.54296875" style="3" bestFit="1" customWidth="1"/>
    <col min="2174" max="2174" width="12.26953125" style="3" bestFit="1" customWidth="1"/>
    <col min="2175" max="2175" width="12.54296875" style="3" bestFit="1" customWidth="1"/>
    <col min="2176" max="2176" width="12.26953125" style="3" bestFit="1" customWidth="1"/>
    <col min="2177" max="2177" width="12.54296875" style="3" bestFit="1" customWidth="1"/>
    <col min="2178" max="2178" width="12.26953125" style="3" bestFit="1" customWidth="1"/>
    <col min="2179" max="2179" width="12.54296875" style="3" bestFit="1" customWidth="1"/>
    <col min="2180" max="2180" width="12.26953125" style="3" bestFit="1" customWidth="1"/>
    <col min="2181" max="2181" width="12.54296875" style="3" bestFit="1" customWidth="1"/>
    <col min="2182" max="2182" width="12.26953125" style="3" bestFit="1" customWidth="1"/>
    <col min="2183" max="2183" width="12.54296875" style="3" bestFit="1" customWidth="1"/>
    <col min="2184" max="2184" width="12.26953125" style="3" bestFit="1" customWidth="1"/>
    <col min="2185" max="2185" width="12.54296875" style="3" bestFit="1" customWidth="1"/>
    <col min="2186" max="2186" width="12.26953125" style="3" bestFit="1" customWidth="1"/>
    <col min="2187" max="2187" width="12.54296875" style="3" bestFit="1" customWidth="1"/>
    <col min="2188" max="2188" width="12.26953125" style="3" bestFit="1" customWidth="1"/>
    <col min="2189" max="2189" width="12.54296875" style="3" bestFit="1" customWidth="1"/>
    <col min="2190" max="2190" width="12.26953125" style="3" bestFit="1" customWidth="1"/>
    <col min="2191" max="2191" width="12.54296875" style="3" bestFit="1" customWidth="1"/>
    <col min="2192" max="2192" width="12.26953125" style="3" bestFit="1" customWidth="1"/>
    <col min="2193" max="2193" width="12.54296875" style="3" bestFit="1" customWidth="1"/>
    <col min="2194" max="2194" width="12.26953125" style="3" bestFit="1" customWidth="1"/>
    <col min="2195" max="2195" width="12.54296875" style="3" bestFit="1" customWidth="1"/>
    <col min="2196" max="2196" width="12.26953125" style="3" bestFit="1" customWidth="1"/>
    <col min="2197" max="2197" width="12.54296875" style="3" bestFit="1" customWidth="1"/>
    <col min="2198" max="2198" width="12.26953125" style="3" bestFit="1" customWidth="1"/>
    <col min="2199" max="2199" width="12.54296875" style="3" bestFit="1" customWidth="1"/>
    <col min="2200" max="2200" width="12.26953125" style="3" bestFit="1" customWidth="1"/>
    <col min="2201" max="2201" width="12.54296875" style="3" bestFit="1" customWidth="1"/>
    <col min="2202" max="2202" width="12.26953125" style="3" bestFit="1" customWidth="1"/>
    <col min="2203" max="2203" width="12.54296875" style="3" bestFit="1" customWidth="1"/>
    <col min="2204" max="2204" width="12.26953125" style="3" bestFit="1" customWidth="1"/>
    <col min="2205" max="2205" width="12.54296875" style="3" bestFit="1" customWidth="1"/>
    <col min="2206" max="2206" width="12.26953125" style="3" bestFit="1" customWidth="1"/>
    <col min="2207" max="2207" width="12.54296875" style="3" bestFit="1" customWidth="1"/>
    <col min="2208" max="2208" width="12.26953125" style="3" bestFit="1" customWidth="1"/>
    <col min="2209" max="2209" width="12.54296875" style="3" bestFit="1" customWidth="1"/>
    <col min="2210" max="2210" width="12.26953125" style="3" bestFit="1" customWidth="1"/>
    <col min="2211" max="2211" width="12.54296875" style="3" bestFit="1" customWidth="1"/>
    <col min="2212" max="2212" width="12.26953125" style="3" bestFit="1" customWidth="1"/>
    <col min="2213" max="2213" width="12.54296875" style="3" bestFit="1" customWidth="1"/>
    <col min="2214" max="2214" width="12.26953125" style="3" bestFit="1" customWidth="1"/>
    <col min="2215" max="2215" width="12.54296875" style="3" bestFit="1" customWidth="1"/>
    <col min="2216" max="2216" width="12.26953125" style="3" bestFit="1" customWidth="1"/>
    <col min="2217" max="2217" width="12.54296875" style="3" bestFit="1" customWidth="1"/>
    <col min="2218" max="2218" width="12.26953125" style="3" bestFit="1" customWidth="1"/>
    <col min="2219" max="2219" width="12.54296875" style="3" bestFit="1" customWidth="1"/>
    <col min="2220" max="2220" width="12.26953125" style="3" bestFit="1" customWidth="1"/>
    <col min="2221" max="2221" width="12.54296875" style="3" bestFit="1" customWidth="1"/>
    <col min="2222" max="2222" width="12.26953125" style="3" bestFit="1" customWidth="1"/>
    <col min="2223" max="2223" width="12.54296875" style="3" bestFit="1" customWidth="1"/>
    <col min="2224" max="2224" width="12.26953125" style="3" bestFit="1" customWidth="1"/>
    <col min="2225" max="2225" width="12.54296875" style="3" bestFit="1" customWidth="1"/>
    <col min="2226" max="2226" width="12.26953125" style="3" bestFit="1" customWidth="1"/>
    <col min="2227" max="2227" width="12.54296875" style="3" bestFit="1" customWidth="1"/>
    <col min="2228" max="2228" width="12.26953125" style="3" bestFit="1" customWidth="1"/>
    <col min="2229" max="2229" width="12.54296875" style="3" bestFit="1" customWidth="1"/>
    <col min="2230" max="2230" width="12.26953125" style="3" bestFit="1" customWidth="1"/>
    <col min="2231" max="2231" width="12.54296875" style="3" bestFit="1" customWidth="1"/>
    <col min="2232" max="2232" width="12.26953125" style="3" bestFit="1" customWidth="1"/>
    <col min="2233" max="2233" width="12.54296875" style="3" bestFit="1" customWidth="1"/>
    <col min="2234" max="2234" width="12.26953125" style="3" bestFit="1" customWidth="1"/>
    <col min="2235" max="2235" width="12.54296875" style="3" bestFit="1" customWidth="1"/>
    <col min="2236" max="2236" width="12.26953125" style="3" bestFit="1" customWidth="1"/>
    <col min="2237" max="2237" width="12.54296875" style="3" bestFit="1" customWidth="1"/>
    <col min="2238" max="2238" width="12.26953125" style="3" bestFit="1" customWidth="1"/>
    <col min="2239" max="2239" width="12.54296875" style="3" bestFit="1" customWidth="1"/>
    <col min="2240" max="2240" width="12.26953125" style="3" bestFit="1" customWidth="1"/>
    <col min="2241" max="2241" width="12.54296875" style="3" bestFit="1" customWidth="1"/>
    <col min="2242" max="2242" width="12.26953125" style="3" bestFit="1" customWidth="1"/>
    <col min="2243" max="2243" width="12.54296875" style="3" bestFit="1" customWidth="1"/>
    <col min="2244" max="2244" width="12.26953125" style="3" bestFit="1" customWidth="1"/>
    <col min="2245" max="2245" width="12.54296875" style="3" bestFit="1" customWidth="1"/>
    <col min="2246" max="2246" width="12.26953125" style="3" bestFit="1" customWidth="1"/>
    <col min="2247" max="2247" width="12.54296875" style="3" bestFit="1" customWidth="1"/>
    <col min="2248" max="2248" width="12.26953125" style="3" bestFit="1" customWidth="1"/>
    <col min="2249" max="2249" width="12.54296875" style="3" bestFit="1" customWidth="1"/>
    <col min="2250" max="2250" width="12.26953125" style="3" bestFit="1" customWidth="1"/>
    <col min="2251" max="2251" width="12.54296875" style="3" bestFit="1" customWidth="1"/>
    <col min="2252" max="2252" width="12.26953125" style="3" bestFit="1" customWidth="1"/>
    <col min="2253" max="2253" width="12.54296875" style="3" bestFit="1" customWidth="1"/>
    <col min="2254" max="2254" width="12.26953125" style="3" bestFit="1" customWidth="1"/>
    <col min="2255" max="2255" width="12.54296875" style="3" bestFit="1" customWidth="1"/>
    <col min="2256" max="2256" width="12.26953125" style="3" bestFit="1" customWidth="1"/>
    <col min="2257" max="2257" width="12.54296875" style="3" bestFit="1" customWidth="1"/>
    <col min="2258" max="2258" width="12.26953125" style="3" bestFit="1" customWidth="1"/>
    <col min="2259" max="2259" width="12.54296875" style="3" bestFit="1" customWidth="1"/>
    <col min="2260" max="2260" width="12.26953125" style="3" bestFit="1" customWidth="1"/>
    <col min="2261" max="2261" width="12.54296875" style="3" bestFit="1" customWidth="1"/>
    <col min="2262" max="2262" width="12.26953125" style="3" bestFit="1" customWidth="1"/>
    <col min="2263" max="2263" width="12.54296875" style="3" bestFit="1" customWidth="1"/>
    <col min="2264" max="2264" width="12.26953125" style="3" bestFit="1" customWidth="1"/>
    <col min="2265" max="2265" width="12.54296875" style="3" bestFit="1" customWidth="1"/>
    <col min="2266" max="2266" width="12.26953125" style="3" bestFit="1" customWidth="1"/>
    <col min="2267" max="2267" width="12.54296875" style="3" bestFit="1" customWidth="1"/>
    <col min="2268" max="2268" width="12.26953125" style="3" bestFit="1" customWidth="1"/>
    <col min="2269" max="2269" width="12.54296875" style="3" bestFit="1" customWidth="1"/>
    <col min="2270" max="2270" width="12.26953125" style="3" bestFit="1" customWidth="1"/>
    <col min="2271" max="2271" width="12.54296875" style="3" bestFit="1" customWidth="1"/>
    <col min="2272" max="2272" width="12.26953125" style="3" bestFit="1" customWidth="1"/>
    <col min="2273" max="2273" width="12.54296875" style="3" bestFit="1" customWidth="1"/>
    <col min="2274" max="2274" width="12.26953125" style="3" bestFit="1" customWidth="1"/>
    <col min="2275" max="2275" width="12.54296875" style="3" bestFit="1" customWidth="1"/>
    <col min="2276" max="2276" width="12.26953125" style="3" bestFit="1" customWidth="1"/>
    <col min="2277" max="2277" width="12.54296875" style="3" bestFit="1" customWidth="1"/>
    <col min="2278" max="2278" width="12.26953125" style="3" bestFit="1" customWidth="1"/>
    <col min="2279" max="2279" width="12.54296875" style="3" bestFit="1" customWidth="1"/>
    <col min="2280" max="2280" width="12.26953125" style="3" bestFit="1" customWidth="1"/>
    <col min="2281" max="2281" width="12.54296875" style="3" bestFit="1" customWidth="1"/>
    <col min="2282" max="2282" width="12.26953125" style="3" bestFit="1" customWidth="1"/>
    <col min="2283" max="2283" width="12.54296875" style="3" bestFit="1" customWidth="1"/>
    <col min="2284" max="2284" width="12.26953125" style="3" bestFit="1" customWidth="1"/>
    <col min="2285" max="2285" width="12.54296875" style="3" bestFit="1" customWidth="1"/>
    <col min="2286" max="2286" width="12.26953125" style="3" bestFit="1" customWidth="1"/>
    <col min="2287" max="2287" width="12.54296875" style="3" bestFit="1" customWidth="1"/>
    <col min="2288" max="2288" width="12.26953125" style="3" bestFit="1" customWidth="1"/>
    <col min="2289" max="2289" width="12.54296875" style="3" bestFit="1" customWidth="1"/>
    <col min="2290" max="2290" width="12.26953125" style="3" bestFit="1" customWidth="1"/>
    <col min="2291" max="2291" width="12.54296875" style="3" bestFit="1" customWidth="1"/>
    <col min="2292" max="2292" width="12.26953125" style="3" bestFit="1" customWidth="1"/>
    <col min="2293" max="2293" width="12.54296875" style="3" bestFit="1" customWidth="1"/>
    <col min="2294" max="2294" width="12.26953125" style="3" bestFit="1" customWidth="1"/>
    <col min="2295" max="2295" width="12.54296875" style="3" bestFit="1" customWidth="1"/>
    <col min="2296" max="2296" width="12.26953125" style="3" bestFit="1" customWidth="1"/>
    <col min="2297" max="2297" width="12.54296875" style="3" bestFit="1" customWidth="1"/>
    <col min="2298" max="2298" width="12.26953125" style="3" bestFit="1" customWidth="1"/>
    <col min="2299" max="2299" width="12.54296875" style="3" bestFit="1" customWidth="1"/>
    <col min="2300" max="2300" width="12.26953125" style="3" bestFit="1" customWidth="1"/>
    <col min="2301" max="2301" width="12.54296875" style="3" bestFit="1" customWidth="1"/>
    <col min="2302" max="2302" width="12.26953125" style="3" bestFit="1" customWidth="1"/>
    <col min="2303" max="2303" width="12.54296875" style="3" bestFit="1" customWidth="1"/>
    <col min="2304" max="2304" width="12.26953125" style="3" bestFit="1" customWidth="1"/>
    <col min="2305" max="2305" width="12.54296875" style="3" bestFit="1" customWidth="1"/>
    <col min="2306" max="2306" width="12.26953125" style="3" bestFit="1" customWidth="1"/>
    <col min="2307" max="2307" width="12.54296875" style="3" bestFit="1" customWidth="1"/>
    <col min="2308" max="2308" width="12.26953125" style="3" bestFit="1" customWidth="1"/>
    <col min="2309" max="2309" width="12.54296875" style="3" bestFit="1" customWidth="1"/>
    <col min="2310" max="2310" width="12.26953125" style="3" bestFit="1" customWidth="1"/>
    <col min="2311" max="2311" width="12.54296875" style="3" bestFit="1" customWidth="1"/>
    <col min="2312" max="2312" width="12.26953125" style="3" bestFit="1" customWidth="1"/>
    <col min="2313" max="2313" width="12.54296875" style="3" bestFit="1" customWidth="1"/>
    <col min="2314" max="2314" width="12.26953125" style="3" bestFit="1" customWidth="1"/>
    <col min="2315" max="2315" width="12.54296875" style="3" bestFit="1" customWidth="1"/>
    <col min="2316" max="2316" width="12.26953125" style="3" bestFit="1" customWidth="1"/>
    <col min="2317" max="2317" width="12.54296875" style="3" bestFit="1" customWidth="1"/>
    <col min="2318" max="2318" width="12.26953125" style="3" bestFit="1" customWidth="1"/>
    <col min="2319" max="2319" width="12.54296875" style="3" bestFit="1" customWidth="1"/>
    <col min="2320" max="2320" width="12.26953125" style="3" bestFit="1" customWidth="1"/>
    <col min="2321" max="2321" width="12.54296875" style="3" bestFit="1" customWidth="1"/>
    <col min="2322" max="2322" width="12.26953125" style="3" bestFit="1" customWidth="1"/>
    <col min="2323" max="2323" width="12.54296875" style="3" bestFit="1" customWidth="1"/>
    <col min="2324" max="2324" width="12.26953125" style="3" bestFit="1" customWidth="1"/>
    <col min="2325" max="2325" width="12.54296875" style="3" bestFit="1" customWidth="1"/>
    <col min="2326" max="2326" width="12.26953125" style="3" bestFit="1" customWidth="1"/>
    <col min="2327" max="2327" width="12.54296875" style="3" bestFit="1" customWidth="1"/>
    <col min="2328" max="2328" width="12.26953125" style="3" bestFit="1" customWidth="1"/>
    <col min="2329" max="2329" width="12.54296875" style="3" bestFit="1" customWidth="1"/>
    <col min="2330" max="2330" width="12.26953125" style="3" bestFit="1" customWidth="1"/>
    <col min="2331" max="2331" width="12.54296875" style="3" bestFit="1" customWidth="1"/>
    <col min="2332" max="2332" width="12.26953125" style="3" bestFit="1" customWidth="1"/>
    <col min="2333" max="2333" width="12.54296875" style="3" bestFit="1" customWidth="1"/>
    <col min="2334" max="2334" width="12.26953125" style="3" bestFit="1" customWidth="1"/>
    <col min="2335" max="2335" width="12.54296875" style="3" bestFit="1" customWidth="1"/>
    <col min="2336" max="2336" width="12.26953125" style="3" bestFit="1" customWidth="1"/>
    <col min="2337" max="2337" width="12.54296875" style="3" bestFit="1" customWidth="1"/>
    <col min="2338" max="2338" width="12.26953125" style="3" bestFit="1" customWidth="1"/>
    <col min="2339" max="2339" width="12.54296875" style="3" bestFit="1" customWidth="1"/>
    <col min="2340" max="2340" width="12.26953125" style="3" bestFit="1" customWidth="1"/>
    <col min="2341" max="2341" width="12.54296875" style="3" bestFit="1" customWidth="1"/>
    <col min="2342" max="2342" width="12.26953125" style="3" bestFit="1" customWidth="1"/>
    <col min="2343" max="2343" width="12.54296875" style="3" bestFit="1" customWidth="1"/>
    <col min="2344" max="2344" width="12.26953125" style="3" bestFit="1" customWidth="1"/>
    <col min="2345" max="2345" width="12.54296875" style="3" bestFit="1" customWidth="1"/>
    <col min="2346" max="2346" width="12.26953125" style="3" bestFit="1" customWidth="1"/>
    <col min="2347" max="2347" width="12.54296875" style="3" bestFit="1" customWidth="1"/>
    <col min="2348" max="2348" width="12.26953125" style="3" bestFit="1" customWidth="1"/>
    <col min="2349" max="2349" width="12.54296875" style="3" bestFit="1" customWidth="1"/>
    <col min="2350" max="2350" width="12.26953125" style="3" bestFit="1" customWidth="1"/>
    <col min="2351" max="2351" width="12.54296875" style="3" bestFit="1" customWidth="1"/>
    <col min="2352" max="2352" width="12.26953125" style="3" bestFit="1" customWidth="1"/>
    <col min="2353" max="2353" width="12.54296875" style="3" bestFit="1" customWidth="1"/>
    <col min="2354" max="2354" width="12.26953125" style="3" bestFit="1" customWidth="1"/>
    <col min="2355" max="2355" width="12.54296875" style="3" bestFit="1" customWidth="1"/>
    <col min="2356" max="2356" width="12.26953125" style="3" bestFit="1" customWidth="1"/>
    <col min="2357" max="2357" width="12.54296875" style="3" bestFit="1" customWidth="1"/>
    <col min="2358" max="2358" width="12.26953125" style="3" bestFit="1" customWidth="1"/>
    <col min="2359" max="2359" width="12.54296875" style="3" bestFit="1" customWidth="1"/>
    <col min="2360" max="2360" width="12.26953125" style="3" bestFit="1" customWidth="1"/>
    <col min="2361" max="2361" width="12.54296875" style="3" bestFit="1" customWidth="1"/>
    <col min="2362" max="2362" width="12.26953125" style="3" bestFit="1" customWidth="1"/>
    <col min="2363" max="2363" width="12.54296875" style="3" bestFit="1" customWidth="1"/>
    <col min="2364" max="2364" width="12.26953125" style="3" bestFit="1" customWidth="1"/>
    <col min="2365" max="2365" width="12.54296875" style="3" bestFit="1" customWidth="1"/>
    <col min="2366" max="2366" width="12.26953125" style="3" bestFit="1" customWidth="1"/>
    <col min="2367" max="2367" width="12.54296875" style="3" bestFit="1" customWidth="1"/>
    <col min="2368" max="2368" width="12.26953125" style="3" bestFit="1" customWidth="1"/>
    <col min="2369" max="2369" width="12.54296875" style="3" bestFit="1" customWidth="1"/>
    <col min="2370" max="2370" width="12.26953125" style="3" bestFit="1" customWidth="1"/>
    <col min="2371" max="2371" width="12.54296875" style="3" bestFit="1" customWidth="1"/>
    <col min="2372" max="2372" width="12.26953125" style="3" bestFit="1" customWidth="1"/>
    <col min="2373" max="2373" width="12.54296875" style="3" bestFit="1" customWidth="1"/>
    <col min="2374" max="2374" width="12.26953125" style="3" bestFit="1" customWidth="1"/>
    <col min="2375" max="2375" width="12.54296875" style="3" bestFit="1" customWidth="1"/>
    <col min="2376" max="2376" width="12.26953125" style="3" bestFit="1" customWidth="1"/>
    <col min="2377" max="2377" width="12.54296875" style="3" bestFit="1" customWidth="1"/>
    <col min="2378" max="2378" width="12.26953125" style="3" bestFit="1" customWidth="1"/>
    <col min="2379" max="2379" width="12.54296875" style="3" bestFit="1" customWidth="1"/>
    <col min="2380" max="2380" width="12.26953125" style="3" bestFit="1" customWidth="1"/>
    <col min="2381" max="2381" width="12.54296875" style="3" bestFit="1" customWidth="1"/>
    <col min="2382" max="2382" width="12.26953125" style="3" bestFit="1" customWidth="1"/>
    <col min="2383" max="2383" width="12.54296875" style="3" bestFit="1" customWidth="1"/>
    <col min="2384" max="2384" width="12.26953125" style="3" bestFit="1" customWidth="1"/>
    <col min="2385" max="2385" width="12.54296875" style="3" bestFit="1" customWidth="1"/>
    <col min="2386" max="2386" width="12.26953125" style="3" bestFit="1" customWidth="1"/>
    <col min="2387" max="2387" width="12.54296875" style="3" bestFit="1" customWidth="1"/>
    <col min="2388" max="2388" width="12.26953125" style="3" bestFit="1" customWidth="1"/>
    <col min="2389" max="2389" width="12.54296875" style="3" bestFit="1" customWidth="1"/>
    <col min="2390" max="2390" width="12.26953125" style="3" bestFit="1" customWidth="1"/>
    <col min="2391" max="2391" width="12.54296875" style="3" bestFit="1" customWidth="1"/>
    <col min="2392" max="2392" width="12.26953125" style="3" bestFit="1" customWidth="1"/>
    <col min="2393" max="2393" width="12.54296875" style="3" bestFit="1" customWidth="1"/>
    <col min="2394" max="2394" width="12.26953125" style="3" bestFit="1" customWidth="1"/>
    <col min="2395" max="2395" width="12.54296875" style="3" bestFit="1" customWidth="1"/>
    <col min="2396" max="2396" width="12.26953125" style="3" bestFit="1" customWidth="1"/>
    <col min="2397" max="2397" width="12.54296875" style="3" bestFit="1" customWidth="1"/>
    <col min="2398" max="2398" width="12.26953125" style="3" bestFit="1" customWidth="1"/>
    <col min="2399" max="2399" width="12.54296875" style="3" bestFit="1" customWidth="1"/>
    <col min="2400" max="2400" width="12.26953125" style="3" bestFit="1" customWidth="1"/>
    <col min="2401" max="2401" width="12.54296875" style="3" bestFit="1" customWidth="1"/>
    <col min="2402" max="2402" width="12.26953125" style="3" bestFit="1" customWidth="1"/>
    <col min="2403" max="2403" width="12.54296875" style="3" bestFit="1" customWidth="1"/>
    <col min="2404" max="2404" width="12.26953125" style="3" bestFit="1" customWidth="1"/>
    <col min="2405" max="2405" width="12.54296875" style="3" bestFit="1" customWidth="1"/>
    <col min="2406" max="2406" width="12.26953125" style="3" bestFit="1" customWidth="1"/>
    <col min="2407" max="2407" width="12.54296875" style="3" bestFit="1" customWidth="1"/>
    <col min="2408" max="2408" width="12.26953125" style="3" bestFit="1" customWidth="1"/>
    <col min="2409" max="2409" width="12.54296875" style="3" bestFit="1" customWidth="1"/>
    <col min="2410" max="2410" width="12.26953125" style="3" bestFit="1" customWidth="1"/>
    <col min="2411" max="2411" width="12.54296875" style="3" bestFit="1" customWidth="1"/>
    <col min="2412" max="2412" width="12.26953125" style="3" bestFit="1" customWidth="1"/>
    <col min="2413" max="2413" width="12.54296875" style="3" bestFit="1" customWidth="1"/>
    <col min="2414" max="2414" width="12.26953125" style="3" bestFit="1" customWidth="1"/>
    <col min="2415" max="2415" width="12.54296875" style="3" bestFit="1" customWidth="1"/>
    <col min="2416" max="2416" width="12.26953125" style="3" bestFit="1" customWidth="1"/>
    <col min="2417" max="2417" width="12.54296875" style="3" bestFit="1" customWidth="1"/>
    <col min="2418" max="2418" width="12.26953125" style="3" bestFit="1" customWidth="1"/>
    <col min="2419" max="2419" width="12.54296875" style="3" bestFit="1" customWidth="1"/>
    <col min="2420" max="2420" width="12.26953125" style="3" bestFit="1" customWidth="1"/>
    <col min="2421" max="2421" width="12.54296875" style="3" bestFit="1" customWidth="1"/>
    <col min="2422" max="2422" width="12.26953125" style="3" bestFit="1" customWidth="1"/>
    <col min="2423" max="2423" width="12.54296875" style="3" bestFit="1" customWidth="1"/>
    <col min="2424" max="2424" width="12.26953125" style="3" bestFit="1" customWidth="1"/>
    <col min="2425" max="2425" width="12.54296875" style="3" bestFit="1" customWidth="1"/>
    <col min="2426" max="2426" width="12.26953125" style="3" bestFit="1" customWidth="1"/>
    <col min="2427" max="2427" width="12.54296875" style="3" bestFit="1" customWidth="1"/>
    <col min="2428" max="2428" width="12.26953125" style="3" bestFit="1" customWidth="1"/>
    <col min="2429" max="2429" width="12.54296875" style="3" bestFit="1" customWidth="1"/>
    <col min="2430" max="2430" width="12.26953125" style="3" bestFit="1" customWidth="1"/>
    <col min="2431" max="2431" width="12.54296875" style="3" bestFit="1" customWidth="1"/>
    <col min="2432" max="2432" width="12.26953125" style="3" bestFit="1" customWidth="1"/>
    <col min="2433" max="2433" width="12.54296875" style="3" bestFit="1" customWidth="1"/>
    <col min="2434" max="2434" width="12.26953125" style="3" bestFit="1" customWidth="1"/>
    <col min="2435" max="2435" width="12.54296875" style="3" bestFit="1" customWidth="1"/>
    <col min="2436" max="2436" width="12.26953125" style="3" bestFit="1" customWidth="1"/>
    <col min="2437" max="2437" width="12.54296875" style="3" bestFit="1" customWidth="1"/>
    <col min="2438" max="2438" width="12.26953125" style="3" bestFit="1" customWidth="1"/>
    <col min="2439" max="2439" width="12.54296875" style="3" bestFit="1" customWidth="1"/>
    <col min="2440" max="2440" width="12.26953125" style="3" bestFit="1" customWidth="1"/>
    <col min="2441" max="2441" width="12.54296875" style="3" bestFit="1" customWidth="1"/>
    <col min="2442" max="2442" width="12.26953125" style="3" bestFit="1" customWidth="1"/>
    <col min="2443" max="2443" width="12.54296875" style="3" bestFit="1" customWidth="1"/>
    <col min="2444" max="2444" width="12.26953125" style="3" bestFit="1" customWidth="1"/>
    <col min="2445" max="2445" width="12.54296875" style="3" bestFit="1" customWidth="1"/>
    <col min="2446" max="2446" width="12.26953125" style="3" bestFit="1" customWidth="1"/>
    <col min="2447" max="2447" width="12.54296875" style="3" bestFit="1" customWidth="1"/>
    <col min="2448" max="2448" width="12.26953125" style="3" bestFit="1" customWidth="1"/>
    <col min="2449" max="2449" width="12.54296875" style="3" bestFit="1" customWidth="1"/>
    <col min="2450" max="2450" width="12.26953125" style="3" bestFit="1" customWidth="1"/>
    <col min="2451" max="2451" width="12.54296875" style="3" bestFit="1" customWidth="1"/>
    <col min="2452" max="2452" width="12.26953125" style="3" bestFit="1" customWidth="1"/>
    <col min="2453" max="2453" width="12.54296875" style="3" bestFit="1" customWidth="1"/>
    <col min="2454" max="2454" width="12.26953125" style="3" bestFit="1" customWidth="1"/>
    <col min="2455" max="2455" width="12.54296875" style="3" bestFit="1" customWidth="1"/>
    <col min="2456" max="2456" width="12.26953125" style="3" bestFit="1" customWidth="1"/>
    <col min="2457" max="2457" width="12.54296875" style="3" bestFit="1" customWidth="1"/>
    <col min="2458" max="2458" width="12.26953125" style="3" bestFit="1" customWidth="1"/>
    <col min="2459" max="2459" width="12.54296875" style="3" bestFit="1" customWidth="1"/>
    <col min="2460" max="2460" width="12.26953125" style="3" bestFit="1" customWidth="1"/>
    <col min="2461" max="2461" width="12.54296875" style="3" bestFit="1" customWidth="1"/>
    <col min="2462" max="2462" width="12.26953125" style="3" bestFit="1" customWidth="1"/>
    <col min="2463" max="2463" width="12.54296875" style="3" bestFit="1" customWidth="1"/>
    <col min="2464" max="2464" width="12.26953125" style="3" bestFit="1" customWidth="1"/>
    <col min="2465" max="2465" width="12.54296875" style="3" bestFit="1" customWidth="1"/>
    <col min="2466" max="2466" width="12.26953125" style="3" bestFit="1" customWidth="1"/>
    <col min="2467" max="2467" width="12.54296875" style="3" bestFit="1" customWidth="1"/>
    <col min="2468" max="2468" width="12.26953125" style="3" bestFit="1" customWidth="1"/>
    <col min="2469" max="2469" width="12.54296875" style="3" bestFit="1" customWidth="1"/>
    <col min="2470" max="2470" width="12.26953125" style="3" bestFit="1" customWidth="1"/>
    <col min="2471" max="2471" width="12.54296875" style="3" bestFit="1" customWidth="1"/>
    <col min="2472" max="2472" width="12.26953125" style="3" bestFit="1" customWidth="1"/>
    <col min="2473" max="2473" width="12.54296875" style="3" bestFit="1" customWidth="1"/>
    <col min="2474" max="2474" width="12.26953125" style="3" bestFit="1" customWidth="1"/>
    <col min="2475" max="2475" width="12.54296875" style="3" bestFit="1" customWidth="1"/>
    <col min="2476" max="2476" width="12.26953125" style="3" bestFit="1" customWidth="1"/>
    <col min="2477" max="2477" width="12.54296875" style="3" bestFit="1" customWidth="1"/>
    <col min="2478" max="2478" width="12.26953125" style="3" bestFit="1" customWidth="1"/>
    <col min="2479" max="2479" width="12.54296875" style="3" bestFit="1" customWidth="1"/>
    <col min="2480" max="2480" width="12.26953125" style="3" bestFit="1" customWidth="1"/>
    <col min="2481" max="2481" width="12.54296875" style="3" bestFit="1" customWidth="1"/>
    <col min="2482" max="2482" width="12.26953125" style="3" bestFit="1" customWidth="1"/>
    <col min="2483" max="2483" width="12.54296875" style="3" bestFit="1" customWidth="1"/>
    <col min="2484" max="2484" width="12.26953125" style="3" bestFit="1" customWidth="1"/>
    <col min="2485" max="2485" width="12.54296875" style="3" bestFit="1" customWidth="1"/>
    <col min="2486" max="2486" width="12.26953125" style="3" bestFit="1" customWidth="1"/>
    <col min="2487" max="2487" width="12.54296875" style="3" bestFit="1" customWidth="1"/>
    <col min="2488" max="2488" width="12.26953125" style="3" bestFit="1" customWidth="1"/>
    <col min="2489" max="2489" width="12.54296875" style="3" bestFit="1" customWidth="1"/>
    <col min="2490" max="2490" width="12.26953125" style="3" bestFit="1" customWidth="1"/>
    <col min="2491" max="2491" width="12.54296875" style="3" bestFit="1" customWidth="1"/>
    <col min="2492" max="2492" width="12.26953125" style="3" bestFit="1" customWidth="1"/>
    <col min="2493" max="2493" width="12.54296875" style="3" bestFit="1" customWidth="1"/>
    <col min="2494" max="2494" width="12.26953125" style="3" bestFit="1" customWidth="1"/>
    <col min="2495" max="2495" width="12.54296875" style="3" bestFit="1" customWidth="1"/>
    <col min="2496" max="2496" width="12.26953125" style="3" bestFit="1" customWidth="1"/>
    <col min="2497" max="2497" width="12.54296875" style="3" bestFit="1" customWidth="1"/>
    <col min="2498" max="2498" width="12.26953125" style="3" bestFit="1" customWidth="1"/>
    <col min="2499" max="2499" width="12.54296875" style="3" bestFit="1" customWidth="1"/>
    <col min="2500" max="2500" width="12.26953125" style="3" bestFit="1" customWidth="1"/>
    <col min="2501" max="2501" width="12.54296875" style="3" bestFit="1" customWidth="1"/>
    <col min="2502" max="2502" width="12.26953125" style="3" bestFit="1" customWidth="1"/>
    <col min="2503" max="2503" width="12.54296875" style="3" bestFit="1" customWidth="1"/>
    <col min="2504" max="2504" width="12.26953125" style="3" bestFit="1" customWidth="1"/>
    <col min="2505" max="2505" width="12.54296875" style="3" bestFit="1" customWidth="1"/>
    <col min="2506" max="2506" width="12.26953125" style="3" bestFit="1" customWidth="1"/>
    <col min="2507" max="2507" width="12.54296875" style="3" bestFit="1" customWidth="1"/>
    <col min="2508" max="2508" width="12.26953125" style="3" bestFit="1" customWidth="1"/>
    <col min="2509" max="2509" width="12.54296875" style="3" bestFit="1" customWidth="1"/>
    <col min="2510" max="2510" width="12.26953125" style="3" bestFit="1" customWidth="1"/>
    <col min="2511" max="2511" width="12.54296875" style="3" bestFit="1" customWidth="1"/>
    <col min="2512" max="2512" width="12.26953125" style="3" bestFit="1" customWidth="1"/>
    <col min="2513" max="2513" width="12.54296875" style="3" bestFit="1" customWidth="1"/>
    <col min="2514" max="2514" width="12.26953125" style="3" bestFit="1" customWidth="1"/>
    <col min="2515" max="2515" width="12.54296875" style="3" bestFit="1" customWidth="1"/>
    <col min="2516" max="2516" width="12.26953125" style="3" bestFit="1" customWidth="1"/>
    <col min="2517" max="2517" width="12.54296875" style="3" bestFit="1" customWidth="1"/>
    <col min="2518" max="2518" width="12.26953125" style="3" bestFit="1" customWidth="1"/>
    <col min="2519" max="2519" width="12.54296875" style="3" bestFit="1" customWidth="1"/>
    <col min="2520" max="2520" width="12.26953125" style="3" bestFit="1" customWidth="1"/>
    <col min="2521" max="2521" width="12.54296875" style="3" bestFit="1" customWidth="1"/>
    <col min="2522" max="2522" width="12.26953125" style="3" bestFit="1" customWidth="1"/>
    <col min="2523" max="2523" width="12.54296875" style="3" bestFit="1" customWidth="1"/>
    <col min="2524" max="2524" width="12.26953125" style="3" bestFit="1" customWidth="1"/>
    <col min="2525" max="2525" width="12.54296875" style="3" bestFit="1" customWidth="1"/>
    <col min="2526" max="2526" width="12.26953125" style="3" bestFit="1" customWidth="1"/>
    <col min="2527" max="2527" width="12.54296875" style="3" bestFit="1" customWidth="1"/>
    <col min="2528" max="2528" width="12.26953125" style="3" bestFit="1" customWidth="1"/>
    <col min="2529" max="2529" width="12.54296875" style="3" bestFit="1" customWidth="1"/>
    <col min="2530" max="2530" width="12.26953125" style="3" bestFit="1" customWidth="1"/>
    <col min="2531" max="2531" width="12.54296875" style="3" bestFit="1" customWidth="1"/>
    <col min="2532" max="2532" width="12.26953125" style="3" bestFit="1" customWidth="1"/>
    <col min="2533" max="2533" width="12.54296875" style="3" bestFit="1" customWidth="1"/>
    <col min="2534" max="2534" width="12.26953125" style="3" bestFit="1" customWidth="1"/>
    <col min="2535" max="2535" width="12.54296875" style="3" bestFit="1" customWidth="1"/>
    <col min="2536" max="2536" width="12.26953125" style="3" bestFit="1" customWidth="1"/>
    <col min="2537" max="2537" width="12.54296875" style="3" bestFit="1" customWidth="1"/>
    <col min="2538" max="2538" width="12.26953125" style="3" bestFit="1" customWidth="1"/>
    <col min="2539" max="2539" width="12.54296875" style="3" bestFit="1" customWidth="1"/>
    <col min="2540" max="2540" width="12.26953125" style="3" bestFit="1" customWidth="1"/>
    <col min="2541" max="2541" width="12.54296875" style="3" bestFit="1" customWidth="1"/>
    <col min="2542" max="2542" width="12.26953125" style="3" bestFit="1" customWidth="1"/>
    <col min="2543" max="2543" width="12.54296875" style="3" bestFit="1" customWidth="1"/>
    <col min="2544" max="2544" width="12.26953125" style="3" bestFit="1" customWidth="1"/>
    <col min="2545" max="2545" width="12.54296875" style="3" bestFit="1" customWidth="1"/>
    <col min="2546" max="2546" width="12.26953125" style="3" bestFit="1" customWidth="1"/>
    <col min="2547" max="2547" width="12.54296875" style="3" bestFit="1" customWidth="1"/>
    <col min="2548" max="2548" width="12.26953125" style="3" bestFit="1" customWidth="1"/>
    <col min="2549" max="2549" width="12.54296875" style="3" bestFit="1" customWidth="1"/>
    <col min="2550" max="2550" width="12.26953125" style="3" bestFit="1" customWidth="1"/>
    <col min="2551" max="2551" width="12.54296875" style="3" bestFit="1" customWidth="1"/>
    <col min="2552" max="2552" width="12.26953125" style="3" bestFit="1" customWidth="1"/>
    <col min="2553" max="2553" width="12.54296875" style="3" bestFit="1" customWidth="1"/>
    <col min="2554" max="2554" width="12.26953125" style="3" bestFit="1" customWidth="1"/>
    <col min="2555" max="2555" width="12.54296875" style="3" bestFit="1" customWidth="1"/>
    <col min="2556" max="2556" width="12.26953125" style="3" bestFit="1" customWidth="1"/>
    <col min="2557" max="2557" width="12.54296875" style="3" bestFit="1" customWidth="1"/>
    <col min="2558" max="2558" width="12.26953125" style="3" bestFit="1" customWidth="1"/>
    <col min="2559" max="2559" width="12.54296875" style="3" bestFit="1" customWidth="1"/>
    <col min="2560" max="2560" width="12.26953125" style="3" bestFit="1" customWidth="1"/>
    <col min="2561" max="2561" width="12.54296875" style="3" bestFit="1" customWidth="1"/>
    <col min="2562" max="2562" width="12.26953125" style="3" bestFit="1" customWidth="1"/>
    <col min="2563" max="2563" width="12.54296875" style="3" bestFit="1" customWidth="1"/>
    <col min="2564" max="2564" width="12.26953125" style="3" bestFit="1" customWidth="1"/>
    <col min="2565" max="2565" width="12.54296875" style="3" bestFit="1" customWidth="1"/>
    <col min="2566" max="2566" width="12.26953125" style="3" bestFit="1" customWidth="1"/>
    <col min="2567" max="2567" width="12.54296875" style="3" bestFit="1" customWidth="1"/>
    <col min="2568" max="2568" width="12.26953125" style="3" bestFit="1" customWidth="1"/>
    <col min="2569" max="2569" width="12.54296875" style="3" bestFit="1" customWidth="1"/>
    <col min="2570" max="2570" width="12.26953125" style="3" bestFit="1" customWidth="1"/>
    <col min="2571" max="2571" width="12.54296875" style="3" bestFit="1" customWidth="1"/>
    <col min="2572" max="2572" width="12.26953125" style="3" bestFit="1" customWidth="1"/>
    <col min="2573" max="2573" width="12.54296875" style="3" bestFit="1" customWidth="1"/>
    <col min="2574" max="2574" width="12.26953125" style="3" bestFit="1" customWidth="1"/>
    <col min="2575" max="2575" width="12.54296875" style="3" bestFit="1" customWidth="1"/>
    <col min="2576" max="2576" width="12.26953125" style="3" bestFit="1" customWidth="1"/>
    <col min="2577" max="2577" width="12.54296875" style="3" bestFit="1" customWidth="1"/>
    <col min="2578" max="2578" width="12.26953125" style="3" bestFit="1" customWidth="1"/>
    <col min="2579" max="2579" width="12.54296875" style="3" bestFit="1" customWidth="1"/>
    <col min="2580" max="2580" width="12.26953125" style="3" bestFit="1" customWidth="1"/>
    <col min="2581" max="2581" width="12.54296875" style="3" bestFit="1" customWidth="1"/>
    <col min="2582" max="2582" width="12.26953125" style="3" bestFit="1" customWidth="1"/>
    <col min="2583" max="2583" width="12.54296875" style="3" bestFit="1" customWidth="1"/>
    <col min="2584" max="2584" width="12.26953125" style="3" bestFit="1" customWidth="1"/>
    <col min="2585" max="2585" width="12.54296875" style="3" bestFit="1" customWidth="1"/>
    <col min="2586" max="2586" width="12.26953125" style="3" bestFit="1" customWidth="1"/>
    <col min="2587" max="2587" width="12.54296875" style="3" bestFit="1" customWidth="1"/>
    <col min="2588" max="2588" width="12.26953125" style="3" bestFit="1" customWidth="1"/>
    <col min="2589" max="2589" width="12.54296875" style="3" bestFit="1" customWidth="1"/>
    <col min="2590" max="2590" width="12.26953125" style="3" bestFit="1" customWidth="1"/>
    <col min="2591" max="2591" width="12.54296875" style="3" bestFit="1" customWidth="1"/>
    <col min="2592" max="2592" width="12.26953125" style="3" bestFit="1" customWidth="1"/>
    <col min="2593" max="2593" width="12.54296875" style="3" bestFit="1" customWidth="1"/>
    <col min="2594" max="2594" width="12.26953125" style="3" bestFit="1" customWidth="1"/>
    <col min="2595" max="2595" width="12.54296875" style="3" bestFit="1" customWidth="1"/>
    <col min="2596" max="2596" width="12.26953125" style="3" bestFit="1" customWidth="1"/>
    <col min="2597" max="2597" width="12.54296875" style="3" bestFit="1" customWidth="1"/>
    <col min="2598" max="2598" width="12.26953125" style="3" bestFit="1" customWidth="1"/>
    <col min="2599" max="2599" width="12.54296875" style="3" bestFit="1" customWidth="1"/>
    <col min="2600" max="2600" width="12.26953125" style="3" bestFit="1" customWidth="1"/>
    <col min="2601" max="2601" width="12.54296875" style="3" bestFit="1" customWidth="1"/>
    <col min="2602" max="2602" width="12.26953125" style="3" bestFit="1" customWidth="1"/>
    <col min="2603" max="2603" width="12.54296875" style="3" bestFit="1" customWidth="1"/>
    <col min="2604" max="2604" width="12.26953125" style="3" bestFit="1" customWidth="1"/>
    <col min="2605" max="2605" width="12.54296875" style="3" bestFit="1" customWidth="1"/>
    <col min="2606" max="2606" width="12.26953125" style="3" bestFit="1" customWidth="1"/>
    <col min="2607" max="2607" width="12.54296875" style="3" bestFit="1" customWidth="1"/>
    <col min="2608" max="2608" width="12.26953125" style="3" bestFit="1" customWidth="1"/>
    <col min="2609" max="2609" width="12.54296875" style="3" bestFit="1" customWidth="1"/>
    <col min="2610" max="2610" width="12.26953125" style="3" bestFit="1" customWidth="1"/>
    <col min="2611" max="2611" width="12.54296875" style="3" bestFit="1" customWidth="1"/>
    <col min="2612" max="2612" width="12.26953125" style="3" bestFit="1" customWidth="1"/>
    <col min="2613" max="2613" width="12.54296875" style="3" bestFit="1" customWidth="1"/>
    <col min="2614" max="2614" width="12.26953125" style="3" bestFit="1" customWidth="1"/>
    <col min="2615" max="2615" width="12.54296875" style="3" bestFit="1" customWidth="1"/>
    <col min="2616" max="2616" width="12.26953125" style="3" bestFit="1" customWidth="1"/>
    <col min="2617" max="2617" width="12.54296875" style="3" bestFit="1" customWidth="1"/>
    <col min="2618" max="2618" width="12.26953125" style="3" bestFit="1" customWidth="1"/>
    <col min="2619" max="2619" width="12.54296875" style="3" bestFit="1" customWidth="1"/>
    <col min="2620" max="2620" width="12.26953125" style="3" bestFit="1" customWidth="1"/>
    <col min="2621" max="2621" width="12.54296875" style="3" bestFit="1" customWidth="1"/>
    <col min="2622" max="2622" width="12.26953125" style="3" bestFit="1" customWidth="1"/>
    <col min="2623" max="2623" width="12.54296875" style="3" bestFit="1" customWidth="1"/>
    <col min="2624" max="2624" width="12.26953125" style="3" bestFit="1" customWidth="1"/>
    <col min="2625" max="2625" width="12.54296875" style="3" bestFit="1" customWidth="1"/>
    <col min="2626" max="2626" width="12.26953125" style="3" bestFit="1" customWidth="1"/>
    <col min="2627" max="2627" width="12.54296875" style="3" bestFit="1" customWidth="1"/>
    <col min="2628" max="2628" width="12.26953125" style="3" bestFit="1" customWidth="1"/>
    <col min="2629" max="2629" width="12.54296875" style="3" bestFit="1" customWidth="1"/>
    <col min="2630" max="2630" width="12.26953125" style="3" bestFit="1" customWidth="1"/>
    <col min="2631" max="2631" width="12.54296875" style="3" bestFit="1" customWidth="1"/>
    <col min="2632" max="2632" width="12.26953125" style="3" bestFit="1" customWidth="1"/>
    <col min="2633" max="2633" width="12.54296875" style="3" bestFit="1" customWidth="1"/>
    <col min="2634" max="2634" width="12.26953125" style="3" bestFit="1" customWidth="1"/>
    <col min="2635" max="2635" width="12.54296875" style="3" bestFit="1" customWidth="1"/>
    <col min="2636" max="2636" width="12.26953125" style="3" bestFit="1" customWidth="1"/>
    <col min="2637" max="2637" width="12.54296875" style="3" bestFit="1" customWidth="1"/>
    <col min="2638" max="2638" width="12.26953125" style="3" bestFit="1" customWidth="1"/>
    <col min="2639" max="2639" width="12.54296875" style="3" bestFit="1" customWidth="1"/>
    <col min="2640" max="2640" width="12.26953125" style="3" bestFit="1" customWidth="1"/>
    <col min="2641" max="2641" width="12.54296875" style="3" bestFit="1" customWidth="1"/>
    <col min="2642" max="2642" width="12.26953125" style="3" bestFit="1" customWidth="1"/>
    <col min="2643" max="2643" width="12.54296875" style="3" bestFit="1" customWidth="1"/>
    <col min="2644" max="2644" width="12.26953125" style="3" bestFit="1" customWidth="1"/>
    <col min="2645" max="2645" width="12.54296875" style="3" bestFit="1" customWidth="1"/>
    <col min="2646" max="2646" width="12.26953125" style="3" bestFit="1" customWidth="1"/>
    <col min="2647" max="2647" width="12.54296875" style="3" bestFit="1" customWidth="1"/>
    <col min="2648" max="2648" width="12.26953125" style="3" bestFit="1" customWidth="1"/>
    <col min="2649" max="2649" width="12.54296875" style="3" bestFit="1" customWidth="1"/>
    <col min="2650" max="2650" width="12.26953125" style="3" bestFit="1" customWidth="1"/>
    <col min="2651" max="2651" width="12.54296875" style="3" bestFit="1" customWidth="1"/>
    <col min="2652" max="2652" width="12.26953125" style="3" bestFit="1" customWidth="1"/>
    <col min="2653" max="2653" width="12.54296875" style="3" bestFit="1" customWidth="1"/>
    <col min="2654" max="2654" width="12.26953125" style="3" bestFit="1" customWidth="1"/>
    <col min="2655" max="2655" width="12.54296875" style="3" bestFit="1" customWidth="1"/>
    <col min="2656" max="2656" width="12.26953125" style="3" bestFit="1" customWidth="1"/>
    <col min="2657" max="2657" width="12.54296875" style="3" bestFit="1" customWidth="1"/>
    <col min="2658" max="2658" width="12.26953125" style="3" bestFit="1" customWidth="1"/>
    <col min="2659" max="2659" width="12.54296875" style="3" bestFit="1" customWidth="1"/>
    <col min="2660" max="2660" width="12.26953125" style="3" bestFit="1" customWidth="1"/>
    <col min="2661" max="2661" width="12.54296875" style="3" bestFit="1" customWidth="1"/>
    <col min="2662" max="2662" width="12.26953125" style="3" bestFit="1" customWidth="1"/>
    <col min="2663" max="2663" width="12.54296875" style="3" bestFit="1" customWidth="1"/>
    <col min="2664" max="2664" width="12.26953125" style="3" bestFit="1" customWidth="1"/>
    <col min="2665" max="2665" width="12.54296875" style="3" bestFit="1" customWidth="1"/>
    <col min="2666" max="2666" width="12.26953125" style="3" bestFit="1" customWidth="1"/>
    <col min="2667" max="2667" width="12.54296875" style="3" bestFit="1" customWidth="1"/>
    <col min="2668" max="2668" width="12.26953125" style="3" bestFit="1" customWidth="1"/>
    <col min="2669" max="2669" width="12.54296875" style="3" bestFit="1" customWidth="1"/>
    <col min="2670" max="2670" width="12.26953125" style="3" bestFit="1" customWidth="1"/>
    <col min="2671" max="2671" width="12.54296875" style="3" bestFit="1" customWidth="1"/>
    <col min="2672" max="2672" width="12.26953125" style="3" bestFit="1" customWidth="1"/>
    <col min="2673" max="2673" width="12.54296875" style="3" bestFit="1" customWidth="1"/>
    <col min="2674" max="2674" width="12.26953125" style="3" bestFit="1" customWidth="1"/>
    <col min="2675" max="2675" width="12.54296875" style="3" bestFit="1" customWidth="1"/>
    <col min="2676" max="2676" width="12.26953125" style="3" bestFit="1" customWidth="1"/>
    <col min="2677" max="2677" width="12.54296875" style="3" bestFit="1" customWidth="1"/>
    <col min="2678" max="2678" width="12.26953125" style="3" bestFit="1" customWidth="1"/>
    <col min="2679" max="2679" width="12.54296875" style="3" bestFit="1" customWidth="1"/>
    <col min="2680" max="2680" width="12.26953125" style="3" bestFit="1" customWidth="1"/>
    <col min="2681" max="2681" width="12.54296875" style="3" bestFit="1" customWidth="1"/>
    <col min="2682" max="2682" width="12.26953125" style="3" bestFit="1" customWidth="1"/>
    <col min="2683" max="2683" width="12.54296875" style="3" bestFit="1" customWidth="1"/>
    <col min="2684" max="2684" width="12.26953125" style="3" bestFit="1" customWidth="1"/>
    <col min="2685" max="2685" width="12.54296875" style="3" bestFit="1" customWidth="1"/>
    <col min="2686" max="2686" width="12.26953125" style="3" bestFit="1" customWidth="1"/>
    <col min="2687" max="2687" width="12.54296875" style="3" bestFit="1" customWidth="1"/>
    <col min="2688" max="2688" width="12.26953125" style="3" bestFit="1" customWidth="1"/>
    <col min="2689" max="2689" width="12.54296875" style="3" bestFit="1" customWidth="1"/>
    <col min="2690" max="2690" width="12.26953125" style="3" bestFit="1" customWidth="1"/>
    <col min="2691" max="2691" width="12.54296875" style="3" bestFit="1" customWidth="1"/>
    <col min="2692" max="2692" width="12.26953125" style="3" bestFit="1" customWidth="1"/>
    <col min="2693" max="2693" width="12.54296875" style="3" bestFit="1" customWidth="1"/>
    <col min="2694" max="2694" width="12.26953125" style="3" bestFit="1" customWidth="1"/>
    <col min="2695" max="2695" width="12.54296875" style="3" bestFit="1" customWidth="1"/>
    <col min="2696" max="2696" width="12.26953125" style="3" bestFit="1" customWidth="1"/>
    <col min="2697" max="2697" width="12.54296875" style="3" bestFit="1" customWidth="1"/>
    <col min="2698" max="2698" width="12.26953125" style="3" bestFit="1" customWidth="1"/>
    <col min="2699" max="2699" width="12.54296875" style="3" bestFit="1" customWidth="1"/>
    <col min="2700" max="2700" width="12.26953125" style="3" bestFit="1" customWidth="1"/>
    <col min="2701" max="2701" width="12.54296875" style="3" bestFit="1" customWidth="1"/>
    <col min="2702" max="2702" width="12.26953125" style="3" bestFit="1" customWidth="1"/>
    <col min="2703" max="2703" width="12.54296875" style="3" bestFit="1" customWidth="1"/>
    <col min="2704" max="2704" width="12.26953125" style="3" bestFit="1" customWidth="1"/>
    <col min="2705" max="2705" width="12.54296875" style="3" bestFit="1" customWidth="1"/>
    <col min="2706" max="2706" width="12.26953125" style="3" bestFit="1" customWidth="1"/>
    <col min="2707" max="2707" width="12.54296875" style="3" bestFit="1" customWidth="1"/>
    <col min="2708" max="2708" width="12.26953125" style="3" bestFit="1" customWidth="1"/>
    <col min="2709" max="2709" width="12.54296875" style="3" bestFit="1" customWidth="1"/>
    <col min="2710" max="2710" width="12.26953125" style="3" bestFit="1" customWidth="1"/>
    <col min="2711" max="2711" width="12.54296875" style="3" bestFit="1" customWidth="1"/>
    <col min="2712" max="2712" width="12.26953125" style="3" bestFit="1" customWidth="1"/>
    <col min="2713" max="2713" width="12.54296875" style="3" bestFit="1" customWidth="1"/>
    <col min="2714" max="2714" width="12.26953125" style="3" bestFit="1" customWidth="1"/>
    <col min="2715" max="2715" width="12.54296875" style="3" bestFit="1" customWidth="1"/>
    <col min="2716" max="2716" width="12.26953125" style="3" bestFit="1" customWidth="1"/>
    <col min="2717" max="2717" width="12.54296875" style="3" bestFit="1" customWidth="1"/>
    <col min="2718" max="2718" width="12.26953125" style="3" bestFit="1" customWidth="1"/>
    <col min="2719" max="2719" width="12.54296875" style="3" bestFit="1" customWidth="1"/>
    <col min="2720" max="2720" width="12.26953125" style="3" bestFit="1" customWidth="1"/>
    <col min="2721" max="2721" width="12.54296875" style="3" bestFit="1" customWidth="1"/>
    <col min="2722" max="2722" width="12.26953125" style="3" bestFit="1" customWidth="1"/>
    <col min="2723" max="2723" width="12.54296875" style="3" bestFit="1" customWidth="1"/>
    <col min="2724" max="2724" width="12.26953125" style="3" bestFit="1" customWidth="1"/>
    <col min="2725" max="2725" width="12.54296875" style="3" bestFit="1" customWidth="1"/>
    <col min="2726" max="2726" width="12.26953125" style="3" bestFit="1" customWidth="1"/>
    <col min="2727" max="2727" width="12.54296875" style="3" bestFit="1" customWidth="1"/>
    <col min="2728" max="2728" width="12.26953125" style="3" bestFit="1" customWidth="1"/>
    <col min="2729" max="2729" width="12.54296875" style="3" bestFit="1" customWidth="1"/>
    <col min="2730" max="2730" width="12.26953125" style="3" bestFit="1" customWidth="1"/>
    <col min="2731" max="2731" width="12.54296875" style="3" bestFit="1" customWidth="1"/>
    <col min="2732" max="2732" width="12.26953125" style="3" bestFit="1" customWidth="1"/>
    <col min="2733" max="2733" width="12.54296875" style="3" bestFit="1" customWidth="1"/>
    <col min="2734" max="2734" width="12.26953125" style="3" bestFit="1" customWidth="1"/>
    <col min="2735" max="2735" width="12.54296875" style="3" bestFit="1" customWidth="1"/>
    <col min="2736" max="2736" width="12.26953125" style="3" bestFit="1" customWidth="1"/>
    <col min="2737" max="2737" width="12.54296875" style="3" bestFit="1" customWidth="1"/>
    <col min="2738" max="2738" width="12.26953125" style="3" bestFit="1" customWidth="1"/>
    <col min="2739" max="2739" width="12.54296875" style="3" bestFit="1" customWidth="1"/>
    <col min="2740" max="2740" width="12.26953125" style="3" bestFit="1" customWidth="1"/>
    <col min="2741" max="2741" width="12.54296875" style="3" bestFit="1" customWidth="1"/>
    <col min="2742" max="2742" width="12.26953125" style="3" bestFit="1" customWidth="1"/>
    <col min="2743" max="2743" width="12.54296875" style="3" bestFit="1" customWidth="1"/>
    <col min="2744" max="2744" width="12.26953125" style="3" bestFit="1" customWidth="1"/>
    <col min="2745" max="2745" width="12.54296875" style="3" bestFit="1" customWidth="1"/>
    <col min="2746" max="2746" width="12.26953125" style="3" bestFit="1" customWidth="1"/>
    <col min="2747" max="2747" width="12.54296875" style="3" bestFit="1" customWidth="1"/>
    <col min="2748" max="2748" width="12.26953125" style="3" bestFit="1" customWidth="1"/>
    <col min="2749" max="2749" width="12.54296875" style="3" bestFit="1" customWidth="1"/>
    <col min="2750" max="2750" width="12.26953125" style="3" bestFit="1" customWidth="1"/>
    <col min="2751" max="2751" width="12.54296875" style="3" bestFit="1" customWidth="1"/>
    <col min="2752" max="2752" width="12.26953125" style="3" bestFit="1" customWidth="1"/>
    <col min="2753" max="2753" width="12.54296875" style="3" bestFit="1" customWidth="1"/>
    <col min="2754" max="2754" width="12.26953125" style="3" bestFit="1" customWidth="1"/>
    <col min="2755" max="2755" width="12.54296875" style="3" bestFit="1" customWidth="1"/>
    <col min="2756" max="2756" width="12.26953125" style="3" bestFit="1" customWidth="1"/>
    <col min="2757" max="2757" width="12.54296875" style="3" bestFit="1" customWidth="1"/>
    <col min="2758" max="2758" width="12.26953125" style="3" bestFit="1" customWidth="1"/>
    <col min="2759" max="2759" width="12.54296875" style="3" bestFit="1" customWidth="1"/>
    <col min="2760" max="2760" width="12.26953125" style="3" bestFit="1" customWidth="1"/>
    <col min="2761" max="2761" width="12.54296875" style="3" bestFit="1" customWidth="1"/>
    <col min="2762" max="2762" width="12.26953125" style="3" bestFit="1" customWidth="1"/>
    <col min="2763" max="2763" width="12.54296875" style="3" bestFit="1" customWidth="1"/>
    <col min="2764" max="2764" width="12.26953125" style="3" bestFit="1" customWidth="1"/>
    <col min="2765" max="2765" width="12.54296875" style="3" bestFit="1" customWidth="1"/>
    <col min="2766" max="2766" width="12.26953125" style="3" bestFit="1" customWidth="1"/>
    <col min="2767" max="2767" width="12.54296875" style="3" bestFit="1" customWidth="1"/>
    <col min="2768" max="2768" width="12.26953125" style="3" bestFit="1" customWidth="1"/>
    <col min="2769" max="2769" width="12.54296875" style="3" bestFit="1" customWidth="1"/>
    <col min="2770" max="2770" width="12.26953125" style="3" bestFit="1" customWidth="1"/>
    <col min="2771" max="2771" width="12.54296875" style="3" bestFit="1" customWidth="1"/>
    <col min="2772" max="2772" width="12.26953125" style="3" bestFit="1" customWidth="1"/>
    <col min="2773" max="2773" width="12.54296875" style="3" bestFit="1" customWidth="1"/>
    <col min="2774" max="2774" width="12.26953125" style="3" bestFit="1" customWidth="1"/>
    <col min="2775" max="2775" width="12.54296875" style="3" bestFit="1" customWidth="1"/>
    <col min="2776" max="2776" width="12.26953125" style="3" bestFit="1" customWidth="1"/>
    <col min="2777" max="2777" width="12.54296875" style="3" bestFit="1" customWidth="1"/>
    <col min="2778" max="2778" width="12.26953125" style="3" bestFit="1" customWidth="1"/>
    <col min="2779" max="2779" width="12.54296875" style="3" bestFit="1" customWidth="1"/>
    <col min="2780" max="2780" width="12.26953125" style="3" bestFit="1" customWidth="1"/>
    <col min="2781" max="2781" width="12.54296875" style="3" bestFit="1" customWidth="1"/>
    <col min="2782" max="2782" width="12.26953125" style="3" bestFit="1" customWidth="1"/>
    <col min="2783" max="2783" width="12.54296875" style="3" bestFit="1" customWidth="1"/>
    <col min="2784" max="2784" width="12.26953125" style="3" bestFit="1" customWidth="1"/>
    <col min="2785" max="2785" width="12.54296875" style="3" bestFit="1" customWidth="1"/>
    <col min="2786" max="2786" width="12.26953125" style="3" bestFit="1" customWidth="1"/>
    <col min="2787" max="2787" width="12.54296875" style="3" bestFit="1" customWidth="1"/>
    <col min="2788" max="2788" width="12.26953125" style="3" bestFit="1" customWidth="1"/>
    <col min="2789" max="2789" width="12.54296875" style="3" bestFit="1" customWidth="1"/>
    <col min="2790" max="2790" width="12.26953125" style="3" bestFit="1" customWidth="1"/>
    <col min="2791" max="2791" width="12.54296875" style="3" bestFit="1" customWidth="1"/>
    <col min="2792" max="2792" width="12.26953125" style="3" bestFit="1" customWidth="1"/>
    <col min="2793" max="2793" width="12.54296875" style="3" bestFit="1" customWidth="1"/>
    <col min="2794" max="2794" width="12.26953125" style="3" bestFit="1" customWidth="1"/>
    <col min="2795" max="2795" width="12.54296875" style="3" bestFit="1" customWidth="1"/>
    <col min="2796" max="2796" width="12.26953125" style="3" bestFit="1" customWidth="1"/>
    <col min="2797" max="2797" width="12.54296875" style="3" bestFit="1" customWidth="1"/>
    <col min="2798" max="2798" width="12.26953125" style="3" bestFit="1" customWidth="1"/>
    <col min="2799" max="2799" width="12.54296875" style="3" bestFit="1" customWidth="1"/>
    <col min="2800" max="2800" width="12.26953125" style="3" bestFit="1" customWidth="1"/>
    <col min="2801" max="2801" width="12.54296875" style="3" bestFit="1" customWidth="1"/>
    <col min="2802" max="2802" width="12.26953125" style="3" bestFit="1" customWidth="1"/>
    <col min="2803" max="2803" width="12.54296875" style="3" bestFit="1" customWidth="1"/>
    <col min="2804" max="2804" width="12.26953125" style="3" bestFit="1" customWidth="1"/>
    <col min="2805" max="2805" width="12.54296875" style="3" bestFit="1" customWidth="1"/>
    <col min="2806" max="2806" width="12.26953125" style="3" bestFit="1" customWidth="1"/>
    <col min="2807" max="2807" width="12.54296875" style="3" bestFit="1" customWidth="1"/>
    <col min="2808" max="2808" width="12.26953125" style="3" bestFit="1" customWidth="1"/>
    <col min="2809" max="2809" width="12.54296875" style="3" bestFit="1" customWidth="1"/>
    <col min="2810" max="2810" width="12.26953125" style="3" bestFit="1" customWidth="1"/>
    <col min="2811" max="2811" width="12.54296875" style="3" bestFit="1" customWidth="1"/>
    <col min="2812" max="2812" width="12.26953125" style="3" bestFit="1" customWidth="1"/>
    <col min="2813" max="2813" width="12.54296875" style="3" bestFit="1" customWidth="1"/>
    <col min="2814" max="2814" width="12.26953125" style="3" bestFit="1" customWidth="1"/>
    <col min="2815" max="2815" width="12.54296875" style="3" bestFit="1" customWidth="1"/>
    <col min="2816" max="2816" width="12.26953125" style="3" bestFit="1" customWidth="1"/>
    <col min="2817" max="2817" width="12.54296875" style="3" bestFit="1" customWidth="1"/>
    <col min="2818" max="2818" width="12.26953125" style="3" bestFit="1" customWidth="1"/>
    <col min="2819" max="2819" width="12.54296875" style="3" bestFit="1" customWidth="1"/>
    <col min="2820" max="2820" width="12.26953125" style="3" bestFit="1" customWidth="1"/>
    <col min="2821" max="2821" width="12.54296875" style="3" bestFit="1" customWidth="1"/>
    <col min="2822" max="2822" width="12.26953125" style="3" bestFit="1" customWidth="1"/>
    <col min="2823" max="2823" width="12.54296875" style="3" bestFit="1" customWidth="1"/>
    <col min="2824" max="2824" width="12.26953125" style="3" bestFit="1" customWidth="1"/>
    <col min="2825" max="2825" width="12.54296875" style="3" bestFit="1" customWidth="1"/>
    <col min="2826" max="2826" width="12.26953125" style="3" bestFit="1" customWidth="1"/>
    <col min="2827" max="2827" width="12.54296875" style="3" bestFit="1" customWidth="1"/>
    <col min="2828" max="2828" width="12.26953125" style="3" bestFit="1" customWidth="1"/>
    <col min="2829" max="2829" width="12.54296875" style="3" bestFit="1" customWidth="1"/>
    <col min="2830" max="2830" width="12.26953125" style="3" bestFit="1" customWidth="1"/>
    <col min="2831" max="2831" width="12.54296875" style="3" bestFit="1" customWidth="1"/>
    <col min="2832" max="2832" width="12.26953125" style="3" bestFit="1" customWidth="1"/>
    <col min="2833" max="2833" width="12.54296875" style="3" bestFit="1" customWidth="1"/>
    <col min="2834" max="2834" width="12.26953125" style="3" bestFit="1" customWidth="1"/>
    <col min="2835" max="2835" width="12.54296875" style="3" bestFit="1" customWidth="1"/>
    <col min="2836" max="2836" width="12.26953125" style="3" bestFit="1" customWidth="1"/>
    <col min="2837" max="2837" width="12.54296875" style="3" bestFit="1" customWidth="1"/>
    <col min="2838" max="2838" width="12.26953125" style="3" bestFit="1" customWidth="1"/>
    <col min="2839" max="2839" width="12.54296875" style="3" bestFit="1" customWidth="1"/>
    <col min="2840" max="2840" width="12.26953125" style="3" bestFit="1" customWidth="1"/>
    <col min="2841" max="2841" width="12.54296875" style="3" bestFit="1" customWidth="1"/>
    <col min="2842" max="2842" width="12.26953125" style="3" bestFit="1" customWidth="1"/>
    <col min="2843" max="2843" width="12.54296875" style="3" bestFit="1" customWidth="1"/>
    <col min="2844" max="2844" width="12.26953125" style="3" bestFit="1" customWidth="1"/>
    <col min="2845" max="2845" width="12.54296875" style="3" bestFit="1" customWidth="1"/>
    <col min="2846" max="2846" width="12.26953125" style="3" bestFit="1" customWidth="1"/>
    <col min="2847" max="2847" width="12.54296875" style="3" bestFit="1" customWidth="1"/>
    <col min="2848" max="2848" width="12.26953125" style="3" bestFit="1" customWidth="1"/>
    <col min="2849" max="2849" width="12.54296875" style="3" bestFit="1" customWidth="1"/>
    <col min="2850" max="2850" width="12.26953125" style="3" bestFit="1" customWidth="1"/>
    <col min="2851" max="2851" width="12.54296875" style="3" bestFit="1" customWidth="1"/>
    <col min="2852" max="2852" width="12.26953125" style="3" bestFit="1" customWidth="1"/>
    <col min="2853" max="2853" width="12.54296875" style="3" bestFit="1" customWidth="1"/>
    <col min="2854" max="2854" width="12.26953125" style="3" bestFit="1" customWidth="1"/>
    <col min="2855" max="2855" width="12.54296875" style="3" bestFit="1" customWidth="1"/>
    <col min="2856" max="2856" width="12.26953125" style="3" bestFit="1" customWidth="1"/>
    <col min="2857" max="2857" width="12.54296875" style="3" bestFit="1" customWidth="1"/>
    <col min="2858" max="2858" width="12.26953125" style="3" bestFit="1" customWidth="1"/>
    <col min="2859" max="2859" width="12.54296875" style="3" bestFit="1" customWidth="1"/>
    <col min="2860" max="2860" width="12.26953125" style="3" bestFit="1" customWidth="1"/>
    <col min="2861" max="2861" width="12.54296875" style="3" bestFit="1" customWidth="1"/>
    <col min="2862" max="2862" width="12.26953125" style="3" bestFit="1" customWidth="1"/>
    <col min="2863" max="2863" width="12.54296875" style="3" bestFit="1" customWidth="1"/>
    <col min="2864" max="2864" width="12.26953125" style="3" bestFit="1" customWidth="1"/>
    <col min="2865" max="2865" width="12.54296875" style="3" bestFit="1" customWidth="1"/>
    <col min="2866" max="2866" width="12.26953125" style="3" bestFit="1" customWidth="1"/>
    <col min="2867" max="2867" width="12.54296875" style="3" bestFit="1" customWidth="1"/>
    <col min="2868" max="2868" width="12.26953125" style="3" bestFit="1" customWidth="1"/>
    <col min="2869" max="2869" width="12.54296875" style="3" bestFit="1" customWidth="1"/>
    <col min="2870" max="2870" width="12.26953125" style="3" bestFit="1" customWidth="1"/>
    <col min="2871" max="2871" width="12.54296875" style="3" bestFit="1" customWidth="1"/>
    <col min="2872" max="2872" width="12.26953125" style="3" bestFit="1" customWidth="1"/>
    <col min="2873" max="2873" width="12.54296875" style="3" bestFit="1" customWidth="1"/>
    <col min="2874" max="2874" width="12.26953125" style="3" bestFit="1" customWidth="1"/>
    <col min="2875" max="2875" width="12.54296875" style="3" bestFit="1" customWidth="1"/>
    <col min="2876" max="2876" width="12.26953125" style="3" bestFit="1" customWidth="1"/>
    <col min="2877" max="2877" width="12.54296875" style="3" bestFit="1" customWidth="1"/>
    <col min="2878" max="2878" width="12.26953125" style="3" bestFit="1" customWidth="1"/>
    <col min="2879" max="2879" width="12.54296875" style="3" bestFit="1" customWidth="1"/>
    <col min="2880" max="2880" width="12.26953125" style="3" bestFit="1" customWidth="1"/>
    <col min="2881" max="2881" width="12.54296875" style="3" bestFit="1" customWidth="1"/>
    <col min="2882" max="2882" width="12.26953125" style="3" bestFit="1" customWidth="1"/>
    <col min="2883" max="2883" width="12.54296875" style="3" bestFit="1" customWidth="1"/>
    <col min="2884" max="2884" width="12.26953125" style="3" bestFit="1" customWidth="1"/>
    <col min="2885" max="2885" width="12.54296875" style="3" bestFit="1" customWidth="1"/>
    <col min="2886" max="2886" width="12.26953125" style="3" bestFit="1" customWidth="1"/>
    <col min="2887" max="2887" width="12.54296875" style="3" bestFit="1" customWidth="1"/>
    <col min="2888" max="2888" width="12.26953125" style="3" bestFit="1" customWidth="1"/>
    <col min="2889" max="2889" width="12.54296875" style="3" bestFit="1" customWidth="1"/>
    <col min="2890" max="2890" width="12.26953125" style="3" bestFit="1" customWidth="1"/>
    <col min="2891" max="2891" width="12.54296875" style="3" bestFit="1" customWidth="1"/>
    <col min="2892" max="2892" width="12.26953125" style="3" bestFit="1" customWidth="1"/>
    <col min="2893" max="2893" width="12.54296875" style="3" bestFit="1" customWidth="1"/>
    <col min="2894" max="2894" width="12.26953125" style="3" bestFit="1" customWidth="1"/>
    <col min="2895" max="2895" width="12.54296875" style="3" bestFit="1" customWidth="1"/>
    <col min="2896" max="2896" width="12.26953125" style="3" bestFit="1" customWidth="1"/>
    <col min="2897" max="2897" width="12.54296875" style="3" bestFit="1" customWidth="1"/>
    <col min="2898" max="2898" width="12.26953125" style="3" bestFit="1" customWidth="1"/>
    <col min="2899" max="2899" width="12.54296875" style="3" bestFit="1" customWidth="1"/>
    <col min="2900" max="2900" width="12.26953125" style="3" bestFit="1" customWidth="1"/>
    <col min="2901" max="2901" width="12.54296875" style="3" bestFit="1" customWidth="1"/>
    <col min="2902" max="2902" width="12.26953125" style="3" bestFit="1" customWidth="1"/>
    <col min="2903" max="2903" width="12.54296875" style="3" bestFit="1" customWidth="1"/>
    <col min="2904" max="2904" width="12.26953125" style="3" bestFit="1" customWidth="1"/>
    <col min="2905" max="2905" width="12.54296875" style="3" bestFit="1" customWidth="1"/>
    <col min="2906" max="2906" width="12.26953125" style="3" bestFit="1" customWidth="1"/>
    <col min="2907" max="2907" width="12.54296875" style="3" bestFit="1" customWidth="1"/>
    <col min="2908" max="2908" width="12.26953125" style="3" bestFit="1" customWidth="1"/>
    <col min="2909" max="2909" width="12.54296875" style="3" bestFit="1" customWidth="1"/>
    <col min="2910" max="2910" width="12.26953125" style="3" bestFit="1" customWidth="1"/>
    <col min="2911" max="2911" width="12.54296875" style="3" bestFit="1" customWidth="1"/>
    <col min="2912" max="2912" width="12.26953125" style="3" bestFit="1" customWidth="1"/>
    <col min="2913" max="2913" width="12.54296875" style="3" bestFit="1" customWidth="1"/>
    <col min="2914" max="2914" width="12.26953125" style="3" bestFit="1" customWidth="1"/>
    <col min="2915" max="2915" width="12.54296875" style="3" bestFit="1" customWidth="1"/>
    <col min="2916" max="2916" width="12.26953125" style="3" bestFit="1" customWidth="1"/>
    <col min="2917" max="2917" width="12.54296875" style="3" bestFit="1" customWidth="1"/>
    <col min="2918" max="2918" width="12.26953125" style="3" bestFit="1" customWidth="1"/>
    <col min="2919" max="2919" width="12.54296875" style="3" bestFit="1" customWidth="1"/>
    <col min="2920" max="2920" width="12.26953125" style="3" bestFit="1" customWidth="1"/>
    <col min="2921" max="2921" width="12.54296875" style="3" bestFit="1" customWidth="1"/>
    <col min="2922" max="2922" width="12.26953125" style="3" bestFit="1" customWidth="1"/>
    <col min="2923" max="2923" width="12.54296875" style="3" bestFit="1" customWidth="1"/>
    <col min="2924" max="2924" width="12.26953125" style="3" bestFit="1" customWidth="1"/>
    <col min="2925" max="2925" width="12.54296875" style="3" bestFit="1" customWidth="1"/>
    <col min="2926" max="2926" width="12.26953125" style="3" bestFit="1" customWidth="1"/>
    <col min="2927" max="2927" width="12.54296875" style="3" bestFit="1" customWidth="1"/>
    <col min="2928" max="2928" width="12.26953125" style="3" bestFit="1" customWidth="1"/>
    <col min="2929" max="2929" width="12.54296875" style="3" bestFit="1" customWidth="1"/>
    <col min="2930" max="2930" width="12.26953125" style="3" bestFit="1" customWidth="1"/>
    <col min="2931" max="2931" width="12.54296875" style="3" bestFit="1" customWidth="1"/>
    <col min="2932" max="2932" width="12.26953125" style="3" bestFit="1" customWidth="1"/>
    <col min="2933" max="2933" width="12.54296875" style="3" bestFit="1" customWidth="1"/>
    <col min="2934" max="2934" width="12.26953125" style="3" bestFit="1" customWidth="1"/>
    <col min="2935" max="2935" width="12.54296875" style="3" bestFit="1" customWidth="1"/>
    <col min="2936" max="2936" width="12.26953125" style="3" bestFit="1" customWidth="1"/>
    <col min="2937" max="2937" width="12.54296875" style="3" bestFit="1" customWidth="1"/>
    <col min="2938" max="2938" width="12.26953125" style="3" bestFit="1" customWidth="1"/>
    <col min="2939" max="2939" width="12.54296875" style="3" bestFit="1" customWidth="1"/>
    <col min="2940" max="2940" width="12.26953125" style="3" bestFit="1" customWidth="1"/>
    <col min="2941" max="2941" width="12.54296875" style="3" bestFit="1" customWidth="1"/>
    <col min="2942" max="2942" width="12.26953125" style="3" bestFit="1" customWidth="1"/>
    <col min="2943" max="2943" width="12.54296875" style="3" bestFit="1" customWidth="1"/>
    <col min="2944" max="2944" width="12.26953125" style="3" bestFit="1" customWidth="1"/>
    <col min="2945" max="2945" width="12.54296875" style="3" bestFit="1" customWidth="1"/>
    <col min="2946" max="2946" width="12.26953125" style="3" bestFit="1" customWidth="1"/>
    <col min="2947" max="2947" width="12.54296875" style="3" bestFit="1" customWidth="1"/>
    <col min="2948" max="2948" width="12.26953125" style="3" bestFit="1" customWidth="1"/>
    <col min="2949" max="2949" width="12.54296875" style="3" bestFit="1" customWidth="1"/>
    <col min="2950" max="2950" width="12.26953125" style="3" bestFit="1" customWidth="1"/>
    <col min="2951" max="2951" width="12.54296875" style="3" bestFit="1" customWidth="1"/>
    <col min="2952" max="2952" width="12.26953125" style="3" bestFit="1" customWidth="1"/>
    <col min="2953" max="2953" width="12.54296875" style="3" bestFit="1" customWidth="1"/>
    <col min="2954" max="2954" width="12.26953125" style="3" bestFit="1" customWidth="1"/>
    <col min="2955" max="2955" width="12.54296875" style="3" bestFit="1" customWidth="1"/>
    <col min="2956" max="2956" width="12.26953125" style="3" bestFit="1" customWidth="1"/>
    <col min="2957" max="2957" width="12.54296875" style="3" bestFit="1" customWidth="1"/>
    <col min="2958" max="2958" width="12.26953125" style="3" bestFit="1" customWidth="1"/>
    <col min="2959" max="2959" width="12.54296875" style="3" bestFit="1" customWidth="1"/>
    <col min="2960" max="2960" width="12.26953125" style="3" bestFit="1" customWidth="1"/>
    <col min="2961" max="2961" width="12.54296875" style="3" bestFit="1" customWidth="1"/>
    <col min="2962" max="2962" width="12.26953125" style="3" bestFit="1" customWidth="1"/>
    <col min="2963" max="2963" width="12.54296875" style="3" bestFit="1" customWidth="1"/>
    <col min="2964" max="2964" width="12.26953125" style="3" bestFit="1" customWidth="1"/>
    <col min="2965" max="2965" width="12.54296875" style="3" bestFit="1" customWidth="1"/>
    <col min="2966" max="2966" width="12.26953125" style="3" bestFit="1" customWidth="1"/>
    <col min="2967" max="2967" width="12.54296875" style="3" bestFit="1" customWidth="1"/>
    <col min="2968" max="2968" width="12.26953125" style="3" bestFit="1" customWidth="1"/>
    <col min="2969" max="2969" width="12.54296875" style="3" bestFit="1" customWidth="1"/>
    <col min="2970" max="2970" width="12.26953125" style="3" bestFit="1" customWidth="1"/>
    <col min="2971" max="2971" width="12.54296875" style="3" bestFit="1" customWidth="1"/>
    <col min="2972" max="2972" width="12.26953125" style="3" bestFit="1" customWidth="1"/>
    <col min="2973" max="2973" width="12.54296875" style="3" bestFit="1" customWidth="1"/>
    <col min="2974" max="2974" width="12.26953125" style="3" bestFit="1" customWidth="1"/>
    <col min="2975" max="2975" width="12.54296875" style="3" bestFit="1" customWidth="1"/>
    <col min="2976" max="2976" width="12.26953125" style="3" bestFit="1" customWidth="1"/>
    <col min="2977" max="2977" width="12.54296875" style="3" bestFit="1" customWidth="1"/>
    <col min="2978" max="2978" width="12.26953125" style="3" bestFit="1" customWidth="1"/>
    <col min="2979" max="2979" width="12.54296875" style="3" bestFit="1" customWidth="1"/>
    <col min="2980" max="2980" width="12.26953125" style="3" bestFit="1" customWidth="1"/>
    <col min="2981" max="2981" width="12.54296875" style="3" bestFit="1" customWidth="1"/>
    <col min="2982" max="2982" width="12.26953125" style="3" bestFit="1" customWidth="1"/>
    <col min="2983" max="2983" width="12.54296875" style="3" bestFit="1" customWidth="1"/>
    <col min="2984" max="2984" width="12.26953125" style="3" bestFit="1" customWidth="1"/>
    <col min="2985" max="2985" width="12.54296875" style="3" bestFit="1" customWidth="1"/>
    <col min="2986" max="2986" width="12.26953125" style="3" bestFit="1" customWidth="1"/>
    <col min="2987" max="2987" width="12.54296875" style="3" bestFit="1" customWidth="1"/>
    <col min="2988" max="2988" width="12.26953125" style="3" bestFit="1" customWidth="1"/>
    <col min="2989" max="2989" width="12.54296875" style="3" bestFit="1" customWidth="1"/>
    <col min="2990" max="2990" width="12.26953125" style="3" bestFit="1" customWidth="1"/>
    <col min="2991" max="2991" width="12.54296875" style="3" bestFit="1" customWidth="1"/>
    <col min="2992" max="2992" width="12.26953125" style="3" bestFit="1" customWidth="1"/>
    <col min="2993" max="2993" width="12.54296875" style="3" bestFit="1" customWidth="1"/>
    <col min="2994" max="2994" width="12.26953125" style="3" bestFit="1" customWidth="1"/>
    <col min="2995" max="2995" width="12.54296875" style="3" bestFit="1" customWidth="1"/>
    <col min="2996" max="2996" width="12.26953125" style="3" bestFit="1" customWidth="1"/>
    <col min="2997" max="2997" width="12.54296875" style="3" bestFit="1" customWidth="1"/>
    <col min="2998" max="2998" width="12.26953125" style="3" bestFit="1" customWidth="1"/>
    <col min="2999" max="2999" width="12.54296875" style="3" bestFit="1" customWidth="1"/>
    <col min="3000" max="3000" width="12.26953125" style="3" bestFit="1" customWidth="1"/>
    <col min="3001" max="3001" width="12.54296875" style="3" bestFit="1" customWidth="1"/>
    <col min="3002" max="3002" width="12.26953125" style="3" bestFit="1" customWidth="1"/>
    <col min="3003" max="3003" width="12.54296875" style="3" bestFit="1" customWidth="1"/>
    <col min="3004" max="3004" width="12.26953125" style="3" bestFit="1" customWidth="1"/>
    <col min="3005" max="3005" width="12.54296875" style="3" bestFit="1" customWidth="1"/>
    <col min="3006" max="3006" width="12.26953125" style="3" bestFit="1" customWidth="1"/>
    <col min="3007" max="3007" width="12.54296875" style="3" bestFit="1" customWidth="1"/>
    <col min="3008" max="3008" width="12.26953125" style="3" bestFit="1" customWidth="1"/>
    <col min="3009" max="3009" width="12.54296875" style="3" bestFit="1" customWidth="1"/>
    <col min="3010" max="3010" width="12.26953125" style="3" bestFit="1" customWidth="1"/>
    <col min="3011" max="3011" width="12.54296875" style="3" bestFit="1" customWidth="1"/>
    <col min="3012" max="3012" width="12.26953125" style="3" bestFit="1" customWidth="1"/>
    <col min="3013" max="3013" width="12.54296875" style="3" bestFit="1" customWidth="1"/>
    <col min="3014" max="3014" width="12.26953125" style="3" bestFit="1" customWidth="1"/>
    <col min="3015" max="3015" width="12.54296875" style="3" bestFit="1" customWidth="1"/>
    <col min="3016" max="3016" width="12.26953125" style="3" bestFit="1" customWidth="1"/>
    <col min="3017" max="3017" width="12.54296875" style="3" bestFit="1" customWidth="1"/>
    <col min="3018" max="3018" width="12.26953125" style="3" bestFit="1" customWidth="1"/>
    <col min="3019" max="3019" width="12.54296875" style="3" bestFit="1" customWidth="1"/>
    <col min="3020" max="3020" width="12.26953125" style="3" bestFit="1" customWidth="1"/>
    <col min="3021" max="3021" width="12.54296875" style="3" bestFit="1" customWidth="1"/>
    <col min="3022" max="3022" width="12.26953125" style="3" bestFit="1" customWidth="1"/>
    <col min="3023" max="3023" width="12.54296875" style="3" bestFit="1" customWidth="1"/>
    <col min="3024" max="3024" width="12.26953125" style="3" bestFit="1" customWidth="1"/>
    <col min="3025" max="3025" width="12.54296875" style="3" bestFit="1" customWidth="1"/>
    <col min="3026" max="3026" width="12.26953125" style="3" bestFit="1" customWidth="1"/>
    <col min="3027" max="3027" width="12.54296875" style="3" bestFit="1" customWidth="1"/>
    <col min="3028" max="3028" width="12.26953125" style="3" bestFit="1" customWidth="1"/>
    <col min="3029" max="3029" width="12.54296875" style="3" bestFit="1" customWidth="1"/>
    <col min="3030" max="3030" width="12.26953125" style="3" bestFit="1" customWidth="1"/>
    <col min="3031" max="3031" width="12.54296875" style="3" bestFit="1" customWidth="1"/>
    <col min="3032" max="3032" width="12.26953125" style="3" bestFit="1" customWidth="1"/>
    <col min="3033" max="3033" width="12.54296875" style="3" bestFit="1" customWidth="1"/>
    <col min="3034" max="3034" width="12.26953125" style="3" bestFit="1" customWidth="1"/>
    <col min="3035" max="3035" width="12.54296875" style="3" bestFit="1" customWidth="1"/>
    <col min="3036" max="3036" width="12.26953125" style="3" bestFit="1" customWidth="1"/>
    <col min="3037" max="3037" width="12.54296875" style="3" bestFit="1" customWidth="1"/>
    <col min="3038" max="3038" width="12.26953125" style="3" bestFit="1" customWidth="1"/>
    <col min="3039" max="3039" width="12.54296875" style="3" bestFit="1" customWidth="1"/>
    <col min="3040" max="3040" width="12.26953125" style="3" bestFit="1" customWidth="1"/>
    <col min="3041" max="3041" width="12.54296875" style="3" bestFit="1" customWidth="1"/>
    <col min="3042" max="3042" width="12.26953125" style="3" bestFit="1" customWidth="1"/>
    <col min="3043" max="3043" width="12.54296875" style="3" bestFit="1" customWidth="1"/>
    <col min="3044" max="3044" width="12.26953125" style="3" bestFit="1" customWidth="1"/>
    <col min="3045" max="3045" width="12.54296875" style="3" bestFit="1" customWidth="1"/>
    <col min="3046" max="3046" width="12.26953125" style="3" bestFit="1" customWidth="1"/>
    <col min="3047" max="3047" width="12.54296875" style="3" bestFit="1" customWidth="1"/>
    <col min="3048" max="3048" width="12.26953125" style="3" bestFit="1" customWidth="1"/>
    <col min="3049" max="3049" width="12.54296875" style="3" bestFit="1" customWidth="1"/>
    <col min="3050" max="3050" width="12.26953125" style="3" bestFit="1" customWidth="1"/>
    <col min="3051" max="3051" width="12.54296875" style="3" bestFit="1" customWidth="1"/>
    <col min="3052" max="3052" width="12.26953125" style="3" bestFit="1" customWidth="1"/>
    <col min="3053" max="3053" width="12.54296875" style="3" bestFit="1" customWidth="1"/>
    <col min="3054" max="3054" width="12.26953125" style="3" bestFit="1" customWidth="1"/>
    <col min="3055" max="3055" width="12.54296875" style="3" bestFit="1" customWidth="1"/>
    <col min="3056" max="3056" width="12.26953125" style="3" bestFit="1" customWidth="1"/>
    <col min="3057" max="3057" width="12.54296875" style="3" bestFit="1" customWidth="1"/>
    <col min="3058" max="3058" width="12.26953125" style="3" bestFit="1" customWidth="1"/>
    <col min="3059" max="3059" width="12.54296875" style="3" bestFit="1" customWidth="1"/>
    <col min="3060" max="3060" width="12.26953125" style="3" bestFit="1" customWidth="1"/>
    <col min="3061" max="3061" width="12.54296875" style="3" bestFit="1" customWidth="1"/>
    <col min="3062" max="3062" width="12.26953125" style="3" bestFit="1" customWidth="1"/>
    <col min="3063" max="3063" width="12.54296875" style="3" bestFit="1" customWidth="1"/>
    <col min="3064" max="3064" width="12.26953125" style="3" bestFit="1" customWidth="1"/>
    <col min="3065" max="3065" width="12.54296875" style="3" bestFit="1" customWidth="1"/>
    <col min="3066" max="3066" width="12.26953125" style="3" bestFit="1" customWidth="1"/>
    <col min="3067" max="3067" width="12.54296875" style="3" bestFit="1" customWidth="1"/>
    <col min="3068" max="3068" width="12.26953125" style="3" bestFit="1" customWidth="1"/>
    <col min="3069" max="3069" width="12.54296875" style="3" bestFit="1" customWidth="1"/>
    <col min="3070" max="3070" width="12.26953125" style="3" bestFit="1" customWidth="1"/>
    <col min="3071" max="3071" width="12.54296875" style="3" bestFit="1" customWidth="1"/>
    <col min="3072" max="3072" width="12.26953125" style="3" bestFit="1" customWidth="1"/>
    <col min="3073" max="3073" width="12.54296875" style="3" bestFit="1" customWidth="1"/>
    <col min="3074" max="3074" width="12.26953125" style="3" bestFit="1" customWidth="1"/>
    <col min="3075" max="3075" width="12.54296875" style="3" bestFit="1" customWidth="1"/>
    <col min="3076" max="3076" width="12.26953125" style="3" bestFit="1" customWidth="1"/>
    <col min="3077" max="3077" width="12.54296875" style="3" bestFit="1" customWidth="1"/>
    <col min="3078" max="3078" width="12.26953125" style="3" bestFit="1" customWidth="1"/>
    <col min="3079" max="3079" width="12.54296875" style="3" bestFit="1" customWidth="1"/>
    <col min="3080" max="3080" width="12.26953125" style="3" bestFit="1" customWidth="1"/>
    <col min="3081" max="3081" width="12.54296875" style="3" bestFit="1" customWidth="1"/>
    <col min="3082" max="3082" width="12.26953125" style="3" bestFit="1" customWidth="1"/>
    <col min="3083" max="3083" width="12.54296875" style="3" bestFit="1" customWidth="1"/>
    <col min="3084" max="3084" width="12.26953125" style="3" bestFit="1" customWidth="1"/>
    <col min="3085" max="3085" width="12.54296875" style="3" bestFit="1" customWidth="1"/>
    <col min="3086" max="3086" width="12.26953125" style="3" bestFit="1" customWidth="1"/>
    <col min="3087" max="3087" width="12.54296875" style="3" bestFit="1" customWidth="1"/>
    <col min="3088" max="3088" width="12.26953125" style="3" bestFit="1" customWidth="1"/>
    <col min="3089" max="3089" width="12.54296875" style="3" bestFit="1" customWidth="1"/>
    <col min="3090" max="3090" width="12.26953125" style="3" bestFit="1" customWidth="1"/>
    <col min="3091" max="3091" width="12.54296875" style="3" bestFit="1" customWidth="1"/>
    <col min="3092" max="3092" width="12.26953125" style="3" bestFit="1" customWidth="1"/>
    <col min="3093" max="3093" width="12.54296875" style="3" bestFit="1" customWidth="1"/>
    <col min="3094" max="3094" width="12.26953125" style="3" bestFit="1" customWidth="1"/>
    <col min="3095" max="3095" width="12.54296875" style="3" bestFit="1" customWidth="1"/>
    <col min="3096" max="3096" width="12.26953125" style="3" bestFit="1" customWidth="1"/>
    <col min="3097" max="3097" width="12.54296875" style="3" bestFit="1" customWidth="1"/>
    <col min="3098" max="3098" width="12.26953125" style="3" bestFit="1" customWidth="1"/>
    <col min="3099" max="3099" width="12.54296875" style="3" bestFit="1" customWidth="1"/>
    <col min="3100" max="3100" width="12.26953125" style="3" bestFit="1" customWidth="1"/>
    <col min="3101" max="3101" width="12.54296875" style="3" bestFit="1" customWidth="1"/>
    <col min="3102" max="3102" width="12.26953125" style="3" bestFit="1" customWidth="1"/>
    <col min="3103" max="3103" width="12.54296875" style="3" bestFit="1" customWidth="1"/>
    <col min="3104" max="3104" width="12.26953125" style="3" bestFit="1" customWidth="1"/>
    <col min="3105" max="3105" width="12.54296875" style="3" bestFit="1" customWidth="1"/>
    <col min="3106" max="3106" width="12.26953125" style="3" bestFit="1" customWidth="1"/>
    <col min="3107" max="3107" width="12.54296875" style="3" bestFit="1" customWidth="1"/>
    <col min="3108" max="3108" width="12.26953125" style="3" bestFit="1" customWidth="1"/>
    <col min="3109" max="3109" width="12.54296875" style="3" bestFit="1" customWidth="1"/>
    <col min="3110" max="3110" width="12.26953125" style="3" bestFit="1" customWidth="1"/>
    <col min="3111" max="3111" width="12.54296875" style="3" bestFit="1" customWidth="1"/>
    <col min="3112" max="3112" width="12.26953125" style="3" bestFit="1" customWidth="1"/>
    <col min="3113" max="3113" width="12.54296875" style="3" bestFit="1" customWidth="1"/>
    <col min="3114" max="3114" width="12.26953125" style="3" bestFit="1" customWidth="1"/>
    <col min="3115" max="3115" width="12.54296875" style="3" bestFit="1" customWidth="1"/>
    <col min="3116" max="3116" width="12.26953125" style="3" bestFit="1" customWidth="1"/>
    <col min="3117" max="3117" width="12.54296875" style="3" bestFit="1" customWidth="1"/>
    <col min="3118" max="3118" width="12.26953125" style="3" bestFit="1" customWidth="1"/>
    <col min="3119" max="3119" width="12.54296875" style="3" bestFit="1" customWidth="1"/>
    <col min="3120" max="3120" width="12.26953125" style="3" bestFit="1" customWidth="1"/>
    <col min="3121" max="3121" width="12.54296875" style="3" bestFit="1" customWidth="1"/>
    <col min="3122" max="3122" width="12.26953125" style="3" bestFit="1" customWidth="1"/>
    <col min="3123" max="3123" width="12.54296875" style="3" bestFit="1" customWidth="1"/>
    <col min="3124" max="3124" width="12.26953125" style="3" bestFit="1" customWidth="1"/>
    <col min="3125" max="3125" width="12.54296875" style="3" bestFit="1" customWidth="1"/>
    <col min="3126" max="3126" width="12.26953125" style="3" bestFit="1" customWidth="1"/>
    <col min="3127" max="3127" width="12.54296875" style="3" bestFit="1" customWidth="1"/>
    <col min="3128" max="3128" width="12.26953125" style="3" bestFit="1" customWidth="1"/>
    <col min="3129" max="3129" width="12.54296875" style="3" bestFit="1" customWidth="1"/>
    <col min="3130" max="3130" width="12.26953125" style="3" bestFit="1" customWidth="1"/>
    <col min="3131" max="3131" width="12.54296875" style="3" bestFit="1" customWidth="1"/>
    <col min="3132" max="3132" width="12.26953125" style="3" bestFit="1" customWidth="1"/>
    <col min="3133" max="3133" width="12.54296875" style="3" bestFit="1" customWidth="1"/>
    <col min="3134" max="3134" width="12.26953125" style="3" bestFit="1" customWidth="1"/>
    <col min="3135" max="3135" width="12.54296875" style="3" bestFit="1" customWidth="1"/>
    <col min="3136" max="3136" width="12.26953125" style="3" bestFit="1" customWidth="1"/>
    <col min="3137" max="3137" width="12.54296875" style="3" bestFit="1" customWidth="1"/>
    <col min="3138" max="3138" width="12.26953125" style="3" bestFit="1" customWidth="1"/>
    <col min="3139" max="3139" width="12.54296875" style="3" bestFit="1" customWidth="1"/>
    <col min="3140" max="3140" width="12.26953125" style="3" bestFit="1" customWidth="1"/>
    <col min="3141" max="3141" width="12.54296875" style="3" bestFit="1" customWidth="1"/>
    <col min="3142" max="3142" width="12.26953125" style="3" bestFit="1" customWidth="1"/>
    <col min="3143" max="3143" width="12.54296875" style="3" bestFit="1" customWidth="1"/>
    <col min="3144" max="3144" width="12.26953125" style="3" bestFit="1" customWidth="1"/>
    <col min="3145" max="3145" width="12.54296875" style="3" bestFit="1" customWidth="1"/>
    <col min="3146" max="3146" width="12.26953125" style="3" bestFit="1" customWidth="1"/>
    <col min="3147" max="3147" width="12.54296875" style="3" bestFit="1" customWidth="1"/>
    <col min="3148" max="3148" width="12.26953125" style="3" bestFit="1" customWidth="1"/>
    <col min="3149" max="3149" width="12.54296875" style="3" bestFit="1" customWidth="1"/>
    <col min="3150" max="3150" width="12.26953125" style="3" bestFit="1" customWidth="1"/>
    <col min="3151" max="3151" width="12.54296875" style="3" bestFit="1" customWidth="1"/>
    <col min="3152" max="3152" width="12.26953125" style="3" bestFit="1" customWidth="1"/>
    <col min="3153" max="3153" width="12.54296875" style="3" bestFit="1" customWidth="1"/>
    <col min="3154" max="3154" width="12.26953125" style="3" bestFit="1" customWidth="1"/>
    <col min="3155" max="3155" width="12.54296875" style="3" bestFit="1" customWidth="1"/>
    <col min="3156" max="3156" width="12.26953125" style="3" bestFit="1" customWidth="1"/>
    <col min="3157" max="3157" width="12.54296875" style="3" bestFit="1" customWidth="1"/>
    <col min="3158" max="3158" width="12.26953125" style="3" bestFit="1" customWidth="1"/>
    <col min="3159" max="3159" width="12.54296875" style="3" bestFit="1" customWidth="1"/>
    <col min="3160" max="3160" width="12.26953125" style="3" bestFit="1" customWidth="1"/>
    <col min="3161" max="3161" width="12.54296875" style="3" bestFit="1" customWidth="1"/>
    <col min="3162" max="3162" width="12.26953125" style="3" bestFit="1" customWidth="1"/>
    <col min="3163" max="3163" width="12.54296875" style="3" bestFit="1" customWidth="1"/>
    <col min="3164" max="3164" width="12.26953125" style="3" bestFit="1" customWidth="1"/>
    <col min="3165" max="3165" width="12.54296875" style="3" bestFit="1" customWidth="1"/>
    <col min="3166" max="3166" width="12.26953125" style="3" bestFit="1" customWidth="1"/>
    <col min="3167" max="3167" width="12.54296875" style="3" bestFit="1" customWidth="1"/>
    <col min="3168" max="3168" width="12.26953125" style="3" bestFit="1" customWidth="1"/>
    <col min="3169" max="3169" width="12.54296875" style="3" bestFit="1" customWidth="1"/>
    <col min="3170" max="3170" width="12.26953125" style="3" bestFit="1" customWidth="1"/>
    <col min="3171" max="3171" width="12.54296875" style="3" bestFit="1" customWidth="1"/>
    <col min="3172" max="3172" width="12.26953125" style="3" bestFit="1" customWidth="1"/>
    <col min="3173" max="3173" width="12.54296875" style="3" bestFit="1" customWidth="1"/>
    <col min="3174" max="3174" width="12.26953125" style="3" bestFit="1" customWidth="1"/>
    <col min="3175" max="3175" width="12.54296875" style="3" bestFit="1" customWidth="1"/>
    <col min="3176" max="3176" width="12.26953125" style="3" bestFit="1" customWidth="1"/>
    <col min="3177" max="3177" width="12.54296875" style="3" bestFit="1" customWidth="1"/>
    <col min="3178" max="3178" width="12.26953125" style="3" bestFit="1" customWidth="1"/>
    <col min="3179" max="3179" width="12.54296875" style="3" bestFit="1" customWidth="1"/>
    <col min="3180" max="3180" width="12.26953125" style="3" bestFit="1" customWidth="1"/>
    <col min="3181" max="3181" width="12.54296875" style="3" bestFit="1" customWidth="1"/>
    <col min="3182" max="3182" width="12.26953125" style="3" bestFit="1" customWidth="1"/>
    <col min="3183" max="3183" width="12.54296875" style="3" bestFit="1" customWidth="1"/>
    <col min="3184" max="3184" width="12.26953125" style="3" bestFit="1" customWidth="1"/>
    <col min="3185" max="3185" width="12.54296875" style="3" bestFit="1" customWidth="1"/>
    <col min="3186" max="3186" width="12.26953125" style="3" bestFit="1" customWidth="1"/>
    <col min="3187" max="3187" width="12.54296875" style="3" bestFit="1" customWidth="1"/>
    <col min="3188" max="3188" width="12.26953125" style="3" bestFit="1" customWidth="1"/>
    <col min="3189" max="3189" width="12.54296875" style="3" bestFit="1" customWidth="1"/>
    <col min="3190" max="3190" width="12.26953125" style="3" bestFit="1" customWidth="1"/>
    <col min="3191" max="3191" width="12.54296875" style="3" bestFit="1" customWidth="1"/>
    <col min="3192" max="3192" width="12.26953125" style="3" bestFit="1" customWidth="1"/>
    <col min="3193" max="3193" width="12.54296875" style="3" bestFit="1" customWidth="1"/>
    <col min="3194" max="3194" width="12.26953125" style="3" bestFit="1" customWidth="1"/>
    <col min="3195" max="3195" width="12.54296875" style="3" bestFit="1" customWidth="1"/>
    <col min="3196" max="3196" width="12.26953125" style="3" bestFit="1" customWidth="1"/>
    <col min="3197" max="3197" width="12.54296875" style="3" bestFit="1" customWidth="1"/>
    <col min="3198" max="3198" width="12.26953125" style="3" bestFit="1" customWidth="1"/>
    <col min="3199" max="3199" width="12.54296875" style="3" bestFit="1" customWidth="1"/>
    <col min="3200" max="3200" width="12.26953125" style="3" bestFit="1" customWidth="1"/>
    <col min="3201" max="3201" width="12.54296875" style="3" bestFit="1" customWidth="1"/>
    <col min="3202" max="3202" width="12.26953125" style="3" bestFit="1" customWidth="1"/>
    <col min="3203" max="3203" width="12.54296875" style="3" bestFit="1" customWidth="1"/>
    <col min="3204" max="3204" width="12.26953125" style="3" bestFit="1" customWidth="1"/>
    <col min="3205" max="3205" width="12.54296875" style="3" bestFit="1" customWidth="1"/>
    <col min="3206" max="3206" width="12.26953125" style="3" bestFit="1" customWidth="1"/>
    <col min="3207" max="3207" width="12.54296875" style="3" bestFit="1" customWidth="1"/>
    <col min="3208" max="3208" width="12.26953125" style="3" bestFit="1" customWidth="1"/>
    <col min="3209" max="3209" width="12.54296875" style="3" bestFit="1" customWidth="1"/>
    <col min="3210" max="3210" width="12.26953125" style="3" bestFit="1" customWidth="1"/>
    <col min="3211" max="3211" width="12.54296875" style="3" bestFit="1" customWidth="1"/>
    <col min="3212" max="3212" width="12.26953125" style="3" bestFit="1" customWidth="1"/>
    <col min="3213" max="3213" width="12.54296875" style="3" bestFit="1" customWidth="1"/>
    <col min="3214" max="3214" width="12.26953125" style="3" bestFit="1" customWidth="1"/>
    <col min="3215" max="3215" width="12.54296875" style="3" bestFit="1" customWidth="1"/>
    <col min="3216" max="3216" width="12.26953125" style="3" bestFit="1" customWidth="1"/>
    <col min="3217" max="3217" width="12.54296875" style="3" bestFit="1" customWidth="1"/>
    <col min="3218" max="3218" width="12.26953125" style="3" bestFit="1" customWidth="1"/>
    <col min="3219" max="3219" width="12.54296875" style="3" bestFit="1" customWidth="1"/>
    <col min="3220" max="3220" width="12.26953125" style="3" bestFit="1" customWidth="1"/>
    <col min="3221" max="3221" width="12.54296875" style="3" bestFit="1" customWidth="1"/>
    <col min="3222" max="3222" width="12.26953125" style="3" bestFit="1" customWidth="1"/>
    <col min="3223" max="3223" width="12.54296875" style="3" bestFit="1" customWidth="1"/>
    <col min="3224" max="3224" width="12.26953125" style="3" bestFit="1" customWidth="1"/>
    <col min="3225" max="3225" width="12.54296875" style="3" bestFit="1" customWidth="1"/>
    <col min="3226" max="3226" width="12.26953125" style="3" bestFit="1" customWidth="1"/>
    <col min="3227" max="3227" width="12.54296875" style="3" bestFit="1" customWidth="1"/>
    <col min="3228" max="3228" width="12.26953125" style="3" bestFit="1" customWidth="1"/>
    <col min="3229" max="3229" width="12.54296875" style="3" bestFit="1" customWidth="1"/>
    <col min="3230" max="3230" width="12.26953125" style="3" bestFit="1" customWidth="1"/>
    <col min="3231" max="3231" width="12.54296875" style="3" bestFit="1" customWidth="1"/>
    <col min="3232" max="3232" width="12.26953125" style="3" bestFit="1" customWidth="1"/>
    <col min="3233" max="3233" width="12.54296875" style="3" bestFit="1" customWidth="1"/>
    <col min="3234" max="3234" width="12.26953125" style="3" bestFit="1" customWidth="1"/>
    <col min="3235" max="3235" width="12.54296875" style="3" bestFit="1" customWidth="1"/>
    <col min="3236" max="3236" width="12.26953125" style="3" bestFit="1" customWidth="1"/>
    <col min="3237" max="3237" width="12.54296875" style="3" bestFit="1" customWidth="1"/>
    <col min="3238" max="3238" width="12.26953125" style="3" bestFit="1" customWidth="1"/>
    <col min="3239" max="3239" width="12.54296875" style="3" bestFit="1" customWidth="1"/>
    <col min="3240" max="3240" width="12.26953125" style="3" bestFit="1" customWidth="1"/>
    <col min="3241" max="3241" width="12.54296875" style="3" bestFit="1" customWidth="1"/>
    <col min="3242" max="3242" width="12.26953125" style="3" bestFit="1" customWidth="1"/>
    <col min="3243" max="3243" width="12.54296875" style="3" bestFit="1" customWidth="1"/>
    <col min="3244" max="3244" width="12.26953125" style="3" bestFit="1" customWidth="1"/>
    <col min="3245" max="3245" width="12.54296875" style="3" bestFit="1" customWidth="1"/>
    <col min="3246" max="3246" width="12.26953125" style="3" bestFit="1" customWidth="1"/>
    <col min="3247" max="3247" width="12.54296875" style="3" bestFit="1" customWidth="1"/>
    <col min="3248" max="3248" width="12.26953125" style="3" bestFit="1" customWidth="1"/>
    <col min="3249" max="3249" width="12.54296875" style="3" bestFit="1" customWidth="1"/>
    <col min="3250" max="3250" width="12.26953125" style="3" bestFit="1" customWidth="1"/>
    <col min="3251" max="3251" width="12.54296875" style="3" bestFit="1" customWidth="1"/>
    <col min="3252" max="3252" width="12.26953125" style="3" bestFit="1" customWidth="1"/>
    <col min="3253" max="3253" width="12.54296875" style="3" bestFit="1" customWidth="1"/>
    <col min="3254" max="3254" width="12.26953125" style="3" bestFit="1" customWidth="1"/>
    <col min="3255" max="3255" width="12.54296875" style="3" bestFit="1" customWidth="1"/>
    <col min="3256" max="3256" width="12.26953125" style="3" bestFit="1" customWidth="1"/>
    <col min="3257" max="3257" width="12.54296875" style="3" bestFit="1" customWidth="1"/>
    <col min="3258" max="3258" width="12.26953125" style="3" bestFit="1" customWidth="1"/>
    <col min="3259" max="3259" width="12.54296875" style="3" bestFit="1" customWidth="1"/>
    <col min="3260" max="3260" width="12.26953125" style="3" bestFit="1" customWidth="1"/>
    <col min="3261" max="3261" width="12.54296875" style="3" bestFit="1" customWidth="1"/>
    <col min="3262" max="3262" width="12.26953125" style="3" bestFit="1" customWidth="1"/>
    <col min="3263" max="3263" width="12.54296875" style="3" bestFit="1" customWidth="1"/>
    <col min="3264" max="3264" width="12.26953125" style="3" bestFit="1" customWidth="1"/>
    <col min="3265" max="3265" width="12.54296875" style="3" bestFit="1" customWidth="1"/>
    <col min="3266" max="3266" width="12.26953125" style="3" bestFit="1" customWidth="1"/>
    <col min="3267" max="3267" width="12.54296875" style="3" bestFit="1" customWidth="1"/>
    <col min="3268" max="3268" width="12.26953125" style="3" bestFit="1" customWidth="1"/>
    <col min="3269" max="3269" width="12.54296875" style="3" bestFit="1" customWidth="1"/>
    <col min="3270" max="3270" width="12.26953125" style="3" bestFit="1" customWidth="1"/>
    <col min="3271" max="3271" width="12.54296875" style="3" bestFit="1" customWidth="1"/>
    <col min="3272" max="3272" width="12.26953125" style="3" bestFit="1" customWidth="1"/>
    <col min="3273" max="3273" width="12.54296875" style="3" bestFit="1" customWidth="1"/>
    <col min="3274" max="3274" width="12.26953125" style="3" bestFit="1" customWidth="1"/>
    <col min="3275" max="3275" width="12.54296875" style="3" bestFit="1" customWidth="1"/>
    <col min="3276" max="3276" width="12.26953125" style="3" bestFit="1" customWidth="1"/>
    <col min="3277" max="3277" width="12.54296875" style="3" bestFit="1" customWidth="1"/>
    <col min="3278" max="3278" width="12.26953125" style="3" bestFit="1" customWidth="1"/>
    <col min="3279" max="3279" width="12.54296875" style="3" bestFit="1" customWidth="1"/>
    <col min="3280" max="3280" width="12.26953125" style="3" bestFit="1" customWidth="1"/>
    <col min="3281" max="3281" width="12.54296875" style="3" bestFit="1" customWidth="1"/>
    <col min="3282" max="3282" width="12.26953125" style="3" bestFit="1" customWidth="1"/>
    <col min="3283" max="3283" width="12.54296875" style="3" bestFit="1" customWidth="1"/>
    <col min="3284" max="3284" width="12.26953125" style="3" bestFit="1" customWidth="1"/>
    <col min="3285" max="3285" width="12.54296875" style="3" bestFit="1" customWidth="1"/>
    <col min="3286" max="3286" width="12.26953125" style="3" bestFit="1" customWidth="1"/>
    <col min="3287" max="3287" width="12.54296875" style="3" bestFit="1" customWidth="1"/>
    <col min="3288" max="3288" width="12.26953125" style="3" bestFit="1" customWidth="1"/>
    <col min="3289" max="3289" width="12.54296875" style="3" bestFit="1" customWidth="1"/>
    <col min="3290" max="3290" width="12.26953125" style="3" bestFit="1" customWidth="1"/>
    <col min="3291" max="3291" width="12.54296875" style="3" bestFit="1" customWidth="1"/>
    <col min="3292" max="3292" width="12.26953125" style="3" bestFit="1" customWidth="1"/>
    <col min="3293" max="3293" width="12.54296875" style="3" bestFit="1" customWidth="1"/>
    <col min="3294" max="3294" width="12.26953125" style="3" bestFit="1" customWidth="1"/>
    <col min="3295" max="3295" width="12.54296875" style="3" bestFit="1" customWidth="1"/>
    <col min="3296" max="3296" width="12.26953125" style="3" bestFit="1" customWidth="1"/>
    <col min="3297" max="3297" width="12.54296875" style="3" bestFit="1" customWidth="1"/>
    <col min="3298" max="3298" width="12.26953125" style="3" bestFit="1" customWidth="1"/>
    <col min="3299" max="3299" width="12.54296875" style="3" bestFit="1" customWidth="1"/>
    <col min="3300" max="3300" width="12.26953125" style="3" bestFit="1" customWidth="1"/>
    <col min="3301" max="3301" width="12.54296875" style="3" bestFit="1" customWidth="1"/>
    <col min="3302" max="3302" width="12.26953125" style="3" bestFit="1" customWidth="1"/>
    <col min="3303" max="3303" width="12.54296875" style="3" bestFit="1" customWidth="1"/>
    <col min="3304" max="3304" width="12.26953125" style="3" bestFit="1" customWidth="1"/>
    <col min="3305" max="3305" width="12.54296875" style="3" bestFit="1" customWidth="1"/>
    <col min="3306" max="3306" width="12.26953125" style="3" bestFit="1" customWidth="1"/>
    <col min="3307" max="3307" width="12.54296875" style="3" bestFit="1" customWidth="1"/>
    <col min="3308" max="3308" width="12.26953125" style="3" bestFit="1" customWidth="1"/>
    <col min="3309" max="3309" width="12.54296875" style="3" bestFit="1" customWidth="1"/>
    <col min="3310" max="3310" width="12.26953125" style="3" bestFit="1" customWidth="1"/>
    <col min="3311" max="3311" width="12.54296875" style="3" bestFit="1" customWidth="1"/>
    <col min="3312" max="3312" width="12.26953125" style="3" bestFit="1" customWidth="1"/>
    <col min="3313" max="3313" width="12.54296875" style="3" bestFit="1" customWidth="1"/>
    <col min="3314" max="3314" width="12.26953125" style="3" bestFit="1" customWidth="1"/>
    <col min="3315" max="3315" width="12.54296875" style="3" bestFit="1" customWidth="1"/>
    <col min="3316" max="3316" width="12.26953125" style="3" bestFit="1" customWidth="1"/>
    <col min="3317" max="3317" width="12.54296875" style="3" bestFit="1" customWidth="1"/>
    <col min="3318" max="3318" width="12.26953125" style="3" bestFit="1" customWidth="1"/>
    <col min="3319" max="3319" width="12.54296875" style="3" bestFit="1" customWidth="1"/>
    <col min="3320" max="3320" width="12.26953125" style="3" bestFit="1" customWidth="1"/>
    <col min="3321" max="3321" width="12.54296875" style="3" bestFit="1" customWidth="1"/>
    <col min="3322" max="3322" width="12.26953125" style="3" bestFit="1" customWidth="1"/>
    <col min="3323" max="3323" width="12.54296875" style="3" bestFit="1" customWidth="1"/>
    <col min="3324" max="3324" width="12.26953125" style="3" bestFit="1" customWidth="1"/>
    <col min="3325" max="3325" width="12.54296875" style="3" bestFit="1" customWidth="1"/>
    <col min="3326" max="3326" width="12.26953125" style="3" bestFit="1" customWidth="1"/>
    <col min="3327" max="3327" width="12.54296875" style="3" bestFit="1" customWidth="1"/>
    <col min="3328" max="3328" width="12.26953125" style="3" bestFit="1" customWidth="1"/>
    <col min="3329" max="3329" width="12.54296875" style="3" bestFit="1" customWidth="1"/>
    <col min="3330" max="3330" width="12.26953125" style="3" bestFit="1" customWidth="1"/>
    <col min="3331" max="3331" width="12.54296875" style="3" bestFit="1" customWidth="1"/>
    <col min="3332" max="3332" width="12.26953125" style="3" bestFit="1" customWidth="1"/>
    <col min="3333" max="3333" width="12.54296875" style="3" bestFit="1" customWidth="1"/>
    <col min="3334" max="3334" width="12.26953125" style="3" bestFit="1" customWidth="1"/>
    <col min="3335" max="3335" width="12.54296875" style="3" bestFit="1" customWidth="1"/>
    <col min="3336" max="3336" width="12.26953125" style="3" bestFit="1" customWidth="1"/>
    <col min="3337" max="3337" width="12.54296875" style="3" bestFit="1" customWidth="1"/>
    <col min="3338" max="3338" width="12.26953125" style="3" bestFit="1" customWidth="1"/>
    <col min="3339" max="3339" width="12.54296875" style="3" bestFit="1" customWidth="1"/>
    <col min="3340" max="3340" width="12.26953125" style="3" bestFit="1" customWidth="1"/>
    <col min="3341" max="3341" width="12.54296875" style="3" bestFit="1" customWidth="1"/>
    <col min="3342" max="3342" width="12.26953125" style="3" bestFit="1" customWidth="1"/>
    <col min="3343" max="3343" width="12.54296875" style="3" bestFit="1" customWidth="1"/>
    <col min="3344" max="3344" width="12.26953125" style="3" bestFit="1" customWidth="1"/>
    <col min="3345" max="3345" width="12.54296875" style="3" bestFit="1" customWidth="1"/>
    <col min="3346" max="3346" width="12.26953125" style="3" bestFit="1" customWidth="1"/>
    <col min="3347" max="3347" width="12.54296875" style="3" bestFit="1" customWidth="1"/>
    <col min="3348" max="3348" width="12.26953125" style="3" bestFit="1" customWidth="1"/>
    <col min="3349" max="3349" width="12.54296875" style="3" bestFit="1" customWidth="1"/>
    <col min="3350" max="3350" width="12.26953125" style="3" bestFit="1" customWidth="1"/>
    <col min="3351" max="3351" width="12.54296875" style="3" bestFit="1" customWidth="1"/>
    <col min="3352" max="3352" width="12.26953125" style="3" bestFit="1" customWidth="1"/>
    <col min="3353" max="3353" width="12.54296875" style="3" bestFit="1" customWidth="1"/>
    <col min="3354" max="3354" width="12.26953125" style="3" bestFit="1" customWidth="1"/>
    <col min="3355" max="3355" width="12.54296875" style="3" bestFit="1" customWidth="1"/>
    <col min="3356" max="3356" width="12.26953125" style="3" bestFit="1" customWidth="1"/>
    <col min="3357" max="3357" width="12.54296875" style="3" bestFit="1" customWidth="1"/>
    <col min="3358" max="3358" width="12.26953125" style="3" bestFit="1" customWidth="1"/>
    <col min="3359" max="3359" width="12.54296875" style="3" bestFit="1" customWidth="1"/>
    <col min="3360" max="3360" width="12.26953125" style="3" bestFit="1" customWidth="1"/>
    <col min="3361" max="3361" width="12.54296875" style="3" bestFit="1" customWidth="1"/>
    <col min="3362" max="3362" width="12.26953125" style="3" bestFit="1" customWidth="1"/>
    <col min="3363" max="3363" width="12.54296875" style="3" bestFit="1" customWidth="1"/>
    <col min="3364" max="3364" width="12.26953125" style="3" bestFit="1" customWidth="1"/>
    <col min="3365" max="3365" width="12.54296875" style="3" bestFit="1" customWidth="1"/>
    <col min="3366" max="3366" width="12.26953125" style="3" bestFit="1" customWidth="1"/>
    <col min="3367" max="3367" width="12.54296875" style="3" bestFit="1" customWidth="1"/>
    <col min="3368" max="3368" width="12.26953125" style="3" bestFit="1" customWidth="1"/>
    <col min="3369" max="3369" width="12.54296875" style="3" bestFit="1" customWidth="1"/>
    <col min="3370" max="3370" width="12.26953125" style="3" bestFit="1" customWidth="1"/>
    <col min="3371" max="3371" width="12.54296875" style="3" bestFit="1" customWidth="1"/>
    <col min="3372" max="3372" width="12.26953125" style="3" bestFit="1" customWidth="1"/>
    <col min="3373" max="3373" width="12.54296875" style="3" bestFit="1" customWidth="1"/>
    <col min="3374" max="3374" width="12.26953125" style="3" bestFit="1" customWidth="1"/>
    <col min="3375" max="3375" width="12.54296875" style="3" bestFit="1" customWidth="1"/>
    <col min="3376" max="3376" width="12.26953125" style="3" bestFit="1" customWidth="1"/>
    <col min="3377" max="3377" width="12.54296875" style="3" bestFit="1" customWidth="1"/>
    <col min="3378" max="3378" width="12.26953125" style="3" bestFit="1" customWidth="1"/>
    <col min="3379" max="3379" width="12.54296875" style="3" bestFit="1" customWidth="1"/>
    <col min="3380" max="3380" width="12.26953125" style="3" bestFit="1" customWidth="1"/>
    <col min="3381" max="3381" width="12.54296875" style="3" bestFit="1" customWidth="1"/>
    <col min="3382" max="3382" width="12.26953125" style="3" bestFit="1" customWidth="1"/>
    <col min="3383" max="3383" width="12.54296875" style="3" bestFit="1" customWidth="1"/>
    <col min="3384" max="3384" width="12.26953125" style="3" bestFit="1" customWidth="1"/>
    <col min="3385" max="3385" width="12.54296875" style="3" bestFit="1" customWidth="1"/>
    <col min="3386" max="3386" width="12.26953125" style="3" bestFit="1" customWidth="1"/>
    <col min="3387" max="3387" width="12.54296875" style="3" bestFit="1" customWidth="1"/>
    <col min="3388" max="3388" width="12.26953125" style="3" bestFit="1" customWidth="1"/>
    <col min="3389" max="3389" width="12.54296875" style="3" bestFit="1" customWidth="1"/>
    <col min="3390" max="3390" width="12.26953125" style="3" bestFit="1" customWidth="1"/>
    <col min="3391" max="3391" width="12.54296875" style="3" bestFit="1" customWidth="1"/>
    <col min="3392" max="3392" width="12.26953125" style="3" bestFit="1" customWidth="1"/>
    <col min="3393" max="3393" width="12.54296875" style="3" bestFit="1" customWidth="1"/>
    <col min="3394" max="3394" width="12.26953125" style="3" bestFit="1" customWidth="1"/>
    <col min="3395" max="3395" width="12.54296875" style="3" bestFit="1" customWidth="1"/>
    <col min="3396" max="3396" width="12.26953125" style="3" bestFit="1" customWidth="1"/>
    <col min="3397" max="3397" width="12.54296875" style="3" bestFit="1" customWidth="1"/>
    <col min="3398" max="3398" width="12.26953125" style="3" bestFit="1" customWidth="1"/>
    <col min="3399" max="3399" width="12.54296875" style="3" bestFit="1" customWidth="1"/>
    <col min="3400" max="3400" width="12.26953125" style="3" bestFit="1" customWidth="1"/>
    <col min="3401" max="3401" width="12.54296875" style="3" bestFit="1" customWidth="1"/>
    <col min="3402" max="3402" width="12.26953125" style="3" bestFit="1" customWidth="1"/>
    <col min="3403" max="3403" width="12.54296875" style="3" bestFit="1" customWidth="1"/>
    <col min="3404" max="3404" width="12.26953125" style="3" bestFit="1" customWidth="1"/>
    <col min="3405" max="3405" width="12.54296875" style="3" bestFit="1" customWidth="1"/>
    <col min="3406" max="3406" width="12.26953125" style="3" bestFit="1" customWidth="1"/>
    <col min="3407" max="3407" width="12.54296875" style="3" bestFit="1" customWidth="1"/>
    <col min="3408" max="3408" width="12.26953125" style="3" bestFit="1" customWidth="1"/>
    <col min="3409" max="3409" width="12.54296875" style="3" bestFit="1" customWidth="1"/>
    <col min="3410" max="3410" width="12.26953125" style="3" bestFit="1" customWidth="1"/>
    <col min="3411" max="3411" width="12.54296875" style="3" bestFit="1" customWidth="1"/>
    <col min="3412" max="3412" width="12.26953125" style="3" bestFit="1" customWidth="1"/>
    <col min="3413" max="3413" width="12.54296875" style="3" bestFit="1" customWidth="1"/>
    <col min="3414" max="3414" width="12.26953125" style="3" bestFit="1" customWidth="1"/>
    <col min="3415" max="3415" width="12.54296875" style="3" bestFit="1" customWidth="1"/>
    <col min="3416" max="3416" width="12.26953125" style="3" bestFit="1" customWidth="1"/>
    <col min="3417" max="3417" width="12.54296875" style="3" bestFit="1" customWidth="1"/>
    <col min="3418" max="3418" width="12.26953125" style="3" bestFit="1" customWidth="1"/>
    <col min="3419" max="3419" width="12.54296875" style="3" bestFit="1" customWidth="1"/>
    <col min="3420" max="3420" width="12.26953125" style="3" bestFit="1" customWidth="1"/>
    <col min="3421" max="3421" width="12.54296875" style="3" bestFit="1" customWidth="1"/>
    <col min="3422" max="3422" width="12.26953125" style="3" bestFit="1" customWidth="1"/>
    <col min="3423" max="3423" width="12.54296875" style="3" bestFit="1" customWidth="1"/>
    <col min="3424" max="3424" width="12.26953125" style="3" bestFit="1" customWidth="1"/>
    <col min="3425" max="3425" width="12.54296875" style="3" bestFit="1" customWidth="1"/>
    <col min="3426" max="3426" width="12.26953125" style="3" bestFit="1" customWidth="1"/>
    <col min="3427" max="3427" width="12.54296875" style="3" bestFit="1" customWidth="1"/>
    <col min="3428" max="3428" width="12.26953125" style="3" bestFit="1" customWidth="1"/>
    <col min="3429" max="3429" width="12.54296875" style="3" bestFit="1" customWidth="1"/>
    <col min="3430" max="3430" width="12.26953125" style="3" bestFit="1" customWidth="1"/>
    <col min="3431" max="3431" width="12.54296875" style="3" bestFit="1" customWidth="1"/>
    <col min="3432" max="3432" width="12.26953125" style="3" bestFit="1" customWidth="1"/>
    <col min="3433" max="3433" width="12.54296875" style="3" bestFit="1" customWidth="1"/>
    <col min="3434" max="3434" width="12.26953125" style="3" bestFit="1" customWidth="1"/>
    <col min="3435" max="3435" width="12.54296875" style="3" bestFit="1" customWidth="1"/>
    <col min="3436" max="3436" width="12.26953125" style="3" bestFit="1" customWidth="1"/>
    <col min="3437" max="3437" width="12.54296875" style="3" bestFit="1" customWidth="1"/>
    <col min="3438" max="3438" width="12.26953125" style="3" bestFit="1" customWidth="1"/>
    <col min="3439" max="3439" width="12.54296875" style="3" bestFit="1" customWidth="1"/>
    <col min="3440" max="3440" width="12.26953125" style="3" bestFit="1" customWidth="1"/>
    <col min="3441" max="3441" width="12.54296875" style="3" bestFit="1" customWidth="1"/>
    <col min="3442" max="3442" width="12.26953125" style="3" bestFit="1" customWidth="1"/>
    <col min="3443" max="3443" width="12.54296875" style="3" bestFit="1" customWidth="1"/>
    <col min="3444" max="3444" width="12.26953125" style="3" bestFit="1" customWidth="1"/>
    <col min="3445" max="3445" width="12.54296875" style="3" bestFit="1" customWidth="1"/>
    <col min="3446" max="3446" width="12.26953125" style="3" bestFit="1" customWidth="1"/>
    <col min="3447" max="3447" width="12.54296875" style="3" bestFit="1" customWidth="1"/>
    <col min="3448" max="3448" width="12.26953125" style="3" bestFit="1" customWidth="1"/>
    <col min="3449" max="3449" width="12.54296875" style="3" bestFit="1" customWidth="1"/>
    <col min="3450" max="3450" width="12.26953125" style="3" bestFit="1" customWidth="1"/>
    <col min="3451" max="3451" width="12.54296875" style="3" bestFit="1" customWidth="1"/>
    <col min="3452" max="3452" width="12.26953125" style="3" bestFit="1" customWidth="1"/>
    <col min="3453" max="3453" width="12.54296875" style="3" bestFit="1" customWidth="1"/>
    <col min="3454" max="3454" width="12.26953125" style="3" bestFit="1" customWidth="1"/>
    <col min="3455" max="3455" width="12.54296875" style="3" bestFit="1" customWidth="1"/>
    <col min="3456" max="3456" width="12.26953125" style="3" bestFit="1" customWidth="1"/>
    <col min="3457" max="3457" width="12.54296875" style="3" bestFit="1" customWidth="1"/>
    <col min="3458" max="3458" width="12.26953125" style="3" bestFit="1" customWidth="1"/>
    <col min="3459" max="3459" width="12.54296875" style="3" bestFit="1" customWidth="1"/>
    <col min="3460" max="3460" width="12.26953125" style="3" bestFit="1" customWidth="1"/>
    <col min="3461" max="3461" width="12.54296875" style="3" bestFit="1" customWidth="1"/>
    <col min="3462" max="3462" width="12.26953125" style="3" bestFit="1" customWidth="1"/>
    <col min="3463" max="3463" width="12.54296875" style="3" bestFit="1" customWidth="1"/>
    <col min="3464" max="3464" width="12.26953125" style="3" bestFit="1" customWidth="1"/>
    <col min="3465" max="3465" width="12.54296875" style="3" bestFit="1" customWidth="1"/>
    <col min="3466" max="3466" width="12.26953125" style="3" bestFit="1" customWidth="1"/>
    <col min="3467" max="3467" width="12.54296875" style="3" bestFit="1" customWidth="1"/>
    <col min="3468" max="3468" width="12.26953125" style="3" bestFit="1" customWidth="1"/>
    <col min="3469" max="3469" width="12.54296875" style="3" bestFit="1" customWidth="1"/>
    <col min="3470" max="3470" width="12.26953125" style="3" bestFit="1" customWidth="1"/>
    <col min="3471" max="3471" width="12.54296875" style="3" bestFit="1" customWidth="1"/>
    <col min="3472" max="3472" width="12.26953125" style="3" bestFit="1" customWidth="1"/>
    <col min="3473" max="3473" width="12.54296875" style="3" bestFit="1" customWidth="1"/>
    <col min="3474" max="3474" width="12.26953125" style="3" bestFit="1" customWidth="1"/>
    <col min="3475" max="3475" width="12.54296875" style="3" bestFit="1" customWidth="1"/>
    <col min="3476" max="3476" width="12.26953125" style="3" bestFit="1" customWidth="1"/>
    <col min="3477" max="3477" width="12.54296875" style="3" bestFit="1" customWidth="1"/>
    <col min="3478" max="3478" width="12.26953125" style="3" bestFit="1" customWidth="1"/>
    <col min="3479" max="3479" width="12.54296875" style="3" bestFit="1" customWidth="1"/>
    <col min="3480" max="3480" width="12.26953125" style="3" bestFit="1" customWidth="1"/>
    <col min="3481" max="3481" width="12.54296875" style="3" bestFit="1" customWidth="1"/>
    <col min="3482" max="3482" width="12.26953125" style="3" bestFit="1" customWidth="1"/>
    <col min="3483" max="3483" width="12.54296875" style="3" bestFit="1" customWidth="1"/>
    <col min="3484" max="3484" width="12.26953125" style="3" bestFit="1" customWidth="1"/>
    <col min="3485" max="3485" width="12.54296875" style="3" bestFit="1" customWidth="1"/>
    <col min="3486" max="3486" width="12.26953125" style="3" bestFit="1" customWidth="1"/>
    <col min="3487" max="3487" width="12.54296875" style="3" bestFit="1" customWidth="1"/>
    <col min="3488" max="3488" width="12.26953125" style="3" bestFit="1" customWidth="1"/>
    <col min="3489" max="3489" width="12.54296875" style="3" bestFit="1" customWidth="1"/>
    <col min="3490" max="3490" width="12.26953125" style="3" bestFit="1" customWidth="1"/>
    <col min="3491" max="3491" width="12.54296875" style="3" bestFit="1" customWidth="1"/>
    <col min="3492" max="3492" width="12.26953125" style="3" bestFit="1" customWidth="1"/>
    <col min="3493" max="3493" width="12.54296875" style="3" bestFit="1" customWidth="1"/>
    <col min="3494" max="3494" width="12.26953125" style="3" bestFit="1" customWidth="1"/>
    <col min="3495" max="3495" width="12.54296875" style="3" bestFit="1" customWidth="1"/>
    <col min="3496" max="3496" width="12.26953125" style="3" bestFit="1" customWidth="1"/>
    <col min="3497" max="3497" width="12.54296875" style="3" bestFit="1" customWidth="1"/>
    <col min="3498" max="3498" width="12.26953125" style="3" bestFit="1" customWidth="1"/>
    <col min="3499" max="3499" width="12.54296875" style="3" bestFit="1" customWidth="1"/>
    <col min="3500" max="3500" width="12.26953125" style="3" bestFit="1" customWidth="1"/>
    <col min="3501" max="3501" width="12.54296875" style="3" bestFit="1" customWidth="1"/>
    <col min="3502" max="3502" width="12.26953125" style="3" bestFit="1" customWidth="1"/>
    <col min="3503" max="3503" width="12.54296875" style="3" bestFit="1" customWidth="1"/>
    <col min="3504" max="3504" width="12.26953125" style="3" bestFit="1" customWidth="1"/>
    <col min="3505" max="3505" width="12.54296875" style="3" bestFit="1" customWidth="1"/>
    <col min="3506" max="3506" width="12.26953125" style="3" bestFit="1" customWidth="1"/>
    <col min="3507" max="3507" width="12.54296875" style="3" bestFit="1" customWidth="1"/>
    <col min="3508" max="3508" width="12.26953125" style="3" bestFit="1" customWidth="1"/>
    <col min="3509" max="3509" width="12.54296875" style="3" bestFit="1" customWidth="1"/>
    <col min="3510" max="3510" width="12.26953125" style="3" bestFit="1" customWidth="1"/>
    <col min="3511" max="3511" width="12.54296875" style="3" bestFit="1" customWidth="1"/>
    <col min="3512" max="3512" width="12.26953125" style="3" bestFit="1" customWidth="1"/>
    <col min="3513" max="3513" width="12.54296875" style="3" bestFit="1" customWidth="1"/>
    <col min="3514" max="3514" width="12.26953125" style="3" bestFit="1" customWidth="1"/>
    <col min="3515" max="3515" width="12.54296875" style="3" bestFit="1" customWidth="1"/>
    <col min="3516" max="3516" width="12.26953125" style="3" bestFit="1" customWidth="1"/>
    <col min="3517" max="3517" width="12.54296875" style="3" bestFit="1" customWidth="1"/>
    <col min="3518" max="3518" width="12.26953125" style="3" bestFit="1" customWidth="1"/>
    <col min="3519" max="3519" width="12.54296875" style="3" bestFit="1" customWidth="1"/>
    <col min="3520" max="3520" width="12.26953125" style="3" bestFit="1" customWidth="1"/>
    <col min="3521" max="3521" width="12.54296875" style="3" bestFit="1" customWidth="1"/>
    <col min="3522" max="3522" width="12.26953125" style="3" bestFit="1" customWidth="1"/>
    <col min="3523" max="3523" width="12.54296875" style="3" bestFit="1" customWidth="1"/>
    <col min="3524" max="3524" width="12.26953125" style="3" bestFit="1" customWidth="1"/>
    <col min="3525" max="3525" width="12.54296875" style="3" bestFit="1" customWidth="1"/>
    <col min="3526" max="3526" width="12.26953125" style="3" bestFit="1" customWidth="1"/>
    <col min="3527" max="3527" width="12.54296875" style="3" bestFit="1" customWidth="1"/>
    <col min="3528" max="3528" width="12.26953125" style="3" bestFit="1" customWidth="1"/>
    <col min="3529" max="3529" width="12.54296875" style="3" bestFit="1" customWidth="1"/>
    <col min="3530" max="3530" width="12.26953125" style="3" bestFit="1" customWidth="1"/>
    <col min="3531" max="3531" width="12.54296875" style="3" bestFit="1" customWidth="1"/>
    <col min="3532" max="3532" width="12.26953125" style="3" bestFit="1" customWidth="1"/>
    <col min="3533" max="3533" width="12.54296875" style="3" bestFit="1" customWidth="1"/>
    <col min="3534" max="3534" width="12.26953125" style="3" bestFit="1" customWidth="1"/>
    <col min="3535" max="3535" width="12.54296875" style="3" bestFit="1" customWidth="1"/>
    <col min="3536" max="3536" width="12.26953125" style="3" bestFit="1" customWidth="1"/>
    <col min="3537" max="3537" width="12.54296875" style="3" bestFit="1" customWidth="1"/>
    <col min="3538" max="3538" width="12.26953125" style="3" bestFit="1" customWidth="1"/>
    <col min="3539" max="3539" width="12.54296875" style="3" bestFit="1" customWidth="1"/>
    <col min="3540" max="3540" width="12.26953125" style="3" bestFit="1" customWidth="1"/>
    <col min="3541" max="3541" width="12.54296875" style="3" bestFit="1" customWidth="1"/>
    <col min="3542" max="3542" width="12.26953125" style="3" bestFit="1" customWidth="1"/>
    <col min="3543" max="3543" width="12.54296875" style="3" bestFit="1" customWidth="1"/>
    <col min="3544" max="3544" width="12.26953125" style="3" bestFit="1" customWidth="1"/>
    <col min="3545" max="3545" width="12.54296875" style="3" bestFit="1" customWidth="1"/>
    <col min="3546" max="3546" width="12.26953125" style="3" bestFit="1" customWidth="1"/>
    <col min="3547" max="3547" width="12.54296875" style="3" bestFit="1" customWidth="1"/>
    <col min="3548" max="3548" width="12.26953125" style="3" bestFit="1" customWidth="1"/>
    <col min="3549" max="3549" width="12.54296875" style="3" bestFit="1" customWidth="1"/>
    <col min="3550" max="3550" width="12.26953125" style="3" bestFit="1" customWidth="1"/>
    <col min="3551" max="3551" width="12.54296875" style="3" bestFit="1" customWidth="1"/>
    <col min="3552" max="3552" width="12.26953125" style="3" bestFit="1" customWidth="1"/>
    <col min="3553" max="3553" width="12.54296875" style="3" bestFit="1" customWidth="1"/>
    <col min="3554" max="3554" width="12.26953125" style="3" bestFit="1" customWidth="1"/>
    <col min="3555" max="3555" width="12.54296875" style="3" bestFit="1" customWidth="1"/>
    <col min="3556" max="3556" width="12.26953125" style="3" bestFit="1" customWidth="1"/>
    <col min="3557" max="3557" width="12.54296875" style="3" bestFit="1" customWidth="1"/>
    <col min="3558" max="3558" width="12.26953125" style="3" bestFit="1" customWidth="1"/>
    <col min="3559" max="3559" width="12.54296875" style="3" bestFit="1" customWidth="1"/>
    <col min="3560" max="3560" width="12.26953125" style="3" bestFit="1" customWidth="1"/>
    <col min="3561" max="3561" width="12.54296875" style="3" bestFit="1" customWidth="1"/>
    <col min="3562" max="3562" width="12.26953125" style="3" bestFit="1" customWidth="1"/>
    <col min="3563" max="3563" width="12.54296875" style="3" bestFit="1" customWidth="1"/>
    <col min="3564" max="3564" width="12.26953125" style="3" bestFit="1" customWidth="1"/>
    <col min="3565" max="3565" width="12.54296875" style="3" bestFit="1" customWidth="1"/>
    <col min="3566" max="3566" width="12.26953125" style="3" bestFit="1" customWidth="1"/>
    <col min="3567" max="3567" width="12.54296875" style="3" bestFit="1" customWidth="1"/>
    <col min="3568" max="3568" width="12.26953125" style="3" bestFit="1" customWidth="1"/>
    <col min="3569" max="3569" width="12.54296875" style="3" bestFit="1" customWidth="1"/>
    <col min="3570" max="3570" width="12.26953125" style="3" bestFit="1" customWidth="1"/>
    <col min="3571" max="3571" width="12.54296875" style="3" bestFit="1" customWidth="1"/>
    <col min="3572" max="3572" width="12.26953125" style="3" bestFit="1" customWidth="1"/>
    <col min="3573" max="3573" width="12.54296875" style="3" bestFit="1" customWidth="1"/>
    <col min="3574" max="3574" width="12.26953125" style="3" bestFit="1" customWidth="1"/>
    <col min="3575" max="3575" width="12.54296875" style="3" bestFit="1" customWidth="1"/>
    <col min="3576" max="3576" width="12.26953125" style="3" bestFit="1" customWidth="1"/>
    <col min="3577" max="3577" width="12.54296875" style="3" bestFit="1" customWidth="1"/>
    <col min="3578" max="3578" width="12.26953125" style="3" bestFit="1" customWidth="1"/>
    <col min="3579" max="3579" width="12.54296875" style="3" bestFit="1" customWidth="1"/>
    <col min="3580" max="3580" width="12.26953125" style="3" bestFit="1" customWidth="1"/>
    <col min="3581" max="3581" width="12.54296875" style="3" bestFit="1" customWidth="1"/>
    <col min="3582" max="3582" width="12.26953125" style="3" bestFit="1" customWidth="1"/>
    <col min="3583" max="3583" width="12.54296875" style="3" bestFit="1" customWidth="1"/>
    <col min="3584" max="3584" width="12.26953125" style="3" bestFit="1" customWidth="1"/>
    <col min="3585" max="3585" width="12.54296875" style="3" bestFit="1" customWidth="1"/>
    <col min="3586" max="3586" width="12.26953125" style="3" bestFit="1" customWidth="1"/>
    <col min="3587" max="3587" width="12.54296875" style="3" bestFit="1" customWidth="1"/>
    <col min="3588" max="3588" width="12.26953125" style="3" bestFit="1" customWidth="1"/>
    <col min="3589" max="3589" width="12.54296875" style="3" bestFit="1" customWidth="1"/>
    <col min="3590" max="3590" width="12.26953125" style="3" bestFit="1" customWidth="1"/>
    <col min="3591" max="3591" width="12.54296875" style="3" bestFit="1" customWidth="1"/>
    <col min="3592" max="3592" width="12.26953125" style="3" bestFit="1" customWidth="1"/>
    <col min="3593" max="3593" width="12.54296875" style="3" bestFit="1" customWidth="1"/>
    <col min="3594" max="3594" width="12.26953125" style="3" bestFit="1" customWidth="1"/>
    <col min="3595" max="3595" width="12.54296875" style="3" bestFit="1" customWidth="1"/>
    <col min="3596" max="3596" width="12.26953125" style="3" bestFit="1" customWidth="1"/>
    <col min="3597" max="3597" width="12.54296875" style="3" bestFit="1" customWidth="1"/>
    <col min="3598" max="3598" width="12.26953125" style="3" bestFit="1" customWidth="1"/>
    <col min="3599" max="3599" width="12.54296875" style="3" bestFit="1" customWidth="1"/>
    <col min="3600" max="3600" width="12.26953125" style="3" bestFit="1" customWidth="1"/>
    <col min="3601" max="3601" width="12.54296875" style="3" bestFit="1" customWidth="1"/>
    <col min="3602" max="3602" width="12.26953125" style="3" bestFit="1" customWidth="1"/>
    <col min="3603" max="3603" width="12.54296875" style="3" bestFit="1" customWidth="1"/>
    <col min="3604" max="3604" width="12.26953125" style="3" bestFit="1" customWidth="1"/>
    <col min="3605" max="3605" width="12.54296875" style="3" bestFit="1" customWidth="1"/>
    <col min="3606" max="3606" width="12.26953125" style="3" bestFit="1" customWidth="1"/>
    <col min="3607" max="3607" width="12.54296875" style="3" bestFit="1" customWidth="1"/>
    <col min="3608" max="3608" width="12.26953125" style="3" bestFit="1" customWidth="1"/>
    <col min="3609" max="3609" width="12.54296875" style="3" bestFit="1" customWidth="1"/>
    <col min="3610" max="3610" width="12.26953125" style="3" bestFit="1" customWidth="1"/>
    <col min="3611" max="3611" width="12.54296875" style="3" bestFit="1" customWidth="1"/>
    <col min="3612" max="3612" width="12.26953125" style="3" bestFit="1" customWidth="1"/>
    <col min="3613" max="3613" width="12.54296875" style="3" bestFit="1" customWidth="1"/>
    <col min="3614" max="3614" width="12.26953125" style="3" bestFit="1" customWidth="1"/>
    <col min="3615" max="3615" width="12.54296875" style="3" bestFit="1" customWidth="1"/>
    <col min="3616" max="3616" width="12.26953125" style="3" bestFit="1" customWidth="1"/>
    <col min="3617" max="3617" width="12.54296875" style="3" bestFit="1" customWidth="1"/>
    <col min="3618" max="3618" width="12.26953125" style="3" bestFit="1" customWidth="1"/>
    <col min="3619" max="3619" width="12.54296875" style="3" bestFit="1" customWidth="1"/>
    <col min="3620" max="3620" width="12.26953125" style="3" bestFit="1" customWidth="1"/>
    <col min="3621" max="3621" width="12.54296875" style="3" bestFit="1" customWidth="1"/>
    <col min="3622" max="3622" width="12.26953125" style="3" bestFit="1" customWidth="1"/>
    <col min="3623" max="3623" width="12.54296875" style="3" bestFit="1" customWidth="1"/>
    <col min="3624" max="3624" width="12.26953125" style="3" bestFit="1" customWidth="1"/>
    <col min="3625" max="3625" width="12.54296875" style="3" bestFit="1" customWidth="1"/>
    <col min="3626" max="3626" width="12.26953125" style="3" bestFit="1" customWidth="1"/>
    <col min="3627" max="3627" width="12.54296875" style="3" bestFit="1" customWidth="1"/>
    <col min="3628" max="3628" width="12.26953125" style="3" bestFit="1" customWidth="1"/>
    <col min="3629" max="3629" width="12.54296875" style="3" bestFit="1" customWidth="1"/>
    <col min="3630" max="3630" width="12.26953125" style="3" bestFit="1" customWidth="1"/>
    <col min="3631" max="3631" width="12.54296875" style="3" bestFit="1" customWidth="1"/>
    <col min="3632" max="3632" width="12.26953125" style="3" bestFit="1" customWidth="1"/>
    <col min="3633" max="3633" width="12.54296875" style="3" bestFit="1" customWidth="1"/>
    <col min="3634" max="3634" width="12.26953125" style="3" bestFit="1" customWidth="1"/>
    <col min="3635" max="3635" width="12.54296875" style="3" bestFit="1" customWidth="1"/>
    <col min="3636" max="3636" width="12.26953125" style="3" bestFit="1" customWidth="1"/>
    <col min="3637" max="3637" width="12.54296875" style="3" bestFit="1" customWidth="1"/>
    <col min="3638" max="3638" width="12.26953125" style="3" bestFit="1" customWidth="1"/>
    <col min="3639" max="3639" width="12.54296875" style="3" bestFit="1" customWidth="1"/>
    <col min="3640" max="3640" width="12.26953125" style="3" bestFit="1" customWidth="1"/>
    <col min="3641" max="3641" width="12.54296875" style="3" bestFit="1" customWidth="1"/>
    <col min="3642" max="3642" width="12.26953125" style="3" bestFit="1" customWidth="1"/>
    <col min="3643" max="3643" width="12.54296875" style="3" bestFit="1" customWidth="1"/>
    <col min="3644" max="3644" width="12.26953125" style="3" bestFit="1" customWidth="1"/>
    <col min="3645" max="16384" width="8.7265625" style="3"/>
  </cols>
  <sheetData>
    <row r="1" spans="3:13" x14ac:dyDescent="0.35">
      <c r="C1" s="59" t="s">
        <v>37</v>
      </c>
      <c r="D1" s="60"/>
      <c r="F1" s="59" t="s">
        <v>34</v>
      </c>
      <c r="G1" s="60"/>
      <c r="I1" s="59" t="s">
        <v>35</v>
      </c>
      <c r="J1" s="60"/>
      <c r="L1" s="59" t="s">
        <v>36</v>
      </c>
      <c r="M1" s="60"/>
    </row>
    <row r="2" spans="3:13" x14ac:dyDescent="0.35">
      <c r="C2" s="52" t="s">
        <v>1</v>
      </c>
      <c r="D2" t="s">
        <v>18</v>
      </c>
      <c r="F2" s="52" t="s">
        <v>1</v>
      </c>
      <c r="G2" t="s">
        <v>18</v>
      </c>
      <c r="I2" s="52" t="s">
        <v>1</v>
      </c>
      <c r="J2" t="s">
        <v>27</v>
      </c>
      <c r="L2" s="52" t="s">
        <v>1</v>
      </c>
      <c r="M2" t="s">
        <v>27</v>
      </c>
    </row>
    <row r="3" spans="3:13" x14ac:dyDescent="0.35">
      <c r="C3" s="53" t="s">
        <v>14</v>
      </c>
      <c r="D3" s="55">
        <v>0.15417256011315417</v>
      </c>
      <c r="F3" s="53" t="s">
        <v>24</v>
      </c>
      <c r="G3" s="55">
        <v>5.469118340405469E-2</v>
      </c>
      <c r="I3" s="53" t="s">
        <v>47</v>
      </c>
      <c r="J3" s="54">
        <v>4675.5515999999998</v>
      </c>
      <c r="L3" s="53" t="s">
        <v>96</v>
      </c>
      <c r="M3" s="54">
        <v>21.7532</v>
      </c>
    </row>
    <row r="4" spans="3:13" x14ac:dyDescent="0.35">
      <c r="C4" s="53" t="s">
        <v>15</v>
      </c>
      <c r="D4" s="55">
        <v>5.6105610561056105E-2</v>
      </c>
      <c r="F4" s="53" t="s">
        <v>26</v>
      </c>
      <c r="G4" s="55">
        <v>3.6303630363036306E-2</v>
      </c>
      <c r="I4" s="53" t="s">
        <v>94</v>
      </c>
      <c r="J4" s="54">
        <v>5204.3265000000001</v>
      </c>
      <c r="L4" s="53" t="s">
        <v>97</v>
      </c>
      <c r="M4" s="54">
        <v>33.938800000000001</v>
      </c>
    </row>
    <row r="5" spans="3:13" x14ac:dyDescent="0.35">
      <c r="C5" s="53" t="s">
        <v>16</v>
      </c>
      <c r="D5" s="55">
        <v>0.20132013201320131</v>
      </c>
      <c r="F5" s="53" t="s">
        <v>20</v>
      </c>
      <c r="G5" s="55">
        <v>0.14615747289014616</v>
      </c>
      <c r="I5" s="53" t="s">
        <v>48</v>
      </c>
      <c r="J5" s="54">
        <v>7488.0038000000004</v>
      </c>
      <c r="L5" s="53" t="s">
        <v>95</v>
      </c>
      <c r="M5" s="54">
        <v>36.9696</v>
      </c>
    </row>
    <row r="6" spans="3:13" x14ac:dyDescent="0.35">
      <c r="C6" s="53" t="s">
        <v>17</v>
      </c>
      <c r="D6" s="55">
        <v>0.5884016973125884</v>
      </c>
      <c r="F6" s="53" t="s">
        <v>22</v>
      </c>
      <c r="G6" s="55">
        <v>8.7694483734087697E-2</v>
      </c>
      <c r="I6" s="53" t="s">
        <v>49</v>
      </c>
      <c r="J6" s="54">
        <v>10888.8179</v>
      </c>
      <c r="L6" s="53" t="s">
        <v>98</v>
      </c>
      <c r="M6" s="54">
        <v>41.933999999999997</v>
      </c>
    </row>
    <row r="7" spans="3:13" x14ac:dyDescent="0.35">
      <c r="F7" s="53" t="s">
        <v>19</v>
      </c>
      <c r="G7" s="55">
        <v>0.28335690711928335</v>
      </c>
      <c r="I7" s="53" t="s">
        <v>50</v>
      </c>
      <c r="J7" s="54">
        <v>12605.1469</v>
      </c>
      <c r="L7" s="53" t="s">
        <v>51</v>
      </c>
      <c r="M7" s="54">
        <v>67.189800000000005</v>
      </c>
    </row>
    <row r="8" spans="3:13" x14ac:dyDescent="0.35">
      <c r="C8" s="59" t="s">
        <v>38</v>
      </c>
      <c r="D8" s="60"/>
      <c r="F8" s="53" t="s">
        <v>21</v>
      </c>
      <c r="G8" s="55">
        <v>0.2197076850542197</v>
      </c>
    </row>
    <row r="9" spans="3:13" x14ac:dyDescent="0.35">
      <c r="C9" s="52" t="s">
        <v>1</v>
      </c>
      <c r="D9" t="s">
        <v>0</v>
      </c>
      <c r="F9" s="53" t="s">
        <v>23</v>
      </c>
      <c r="G9" s="55">
        <v>0.11126826968411127</v>
      </c>
    </row>
    <row r="10" spans="3:13" x14ac:dyDescent="0.35">
      <c r="C10" s="53" t="s">
        <v>2</v>
      </c>
      <c r="D10" s="54">
        <v>31569.241600000001</v>
      </c>
      <c r="F10" s="53" t="s">
        <v>25</v>
      </c>
      <c r="G10" s="55">
        <v>6.0820367751060818E-2</v>
      </c>
    </row>
    <row r="11" spans="3:13" x14ac:dyDescent="0.35">
      <c r="C11" s="53" t="s">
        <v>3</v>
      </c>
      <c r="D11" s="54">
        <v>15765.920400000001</v>
      </c>
      <c r="I11" s="59" t="s">
        <v>31</v>
      </c>
      <c r="J11" s="60"/>
      <c r="L11" s="52" t="s">
        <v>1</v>
      </c>
      <c r="M11" t="s">
        <v>0</v>
      </c>
    </row>
    <row r="12" spans="3:13" x14ac:dyDescent="0.35">
      <c r="C12" s="53" t="s">
        <v>4</v>
      </c>
      <c r="D12" s="54">
        <v>50768.275800000003</v>
      </c>
      <c r="F12" s="59" t="s">
        <v>33</v>
      </c>
      <c r="G12" s="60"/>
      <c r="I12" s="52" t="s">
        <v>1</v>
      </c>
      <c r="J12" t="s">
        <v>0</v>
      </c>
      <c r="L12" s="53" t="s">
        <v>55</v>
      </c>
      <c r="M12" s="54">
        <v>163797.16380000001</v>
      </c>
    </row>
    <row r="13" spans="3:13" x14ac:dyDescent="0.35">
      <c r="C13" s="53" t="s">
        <v>5</v>
      </c>
      <c r="D13" s="54">
        <v>40698.583599999998</v>
      </c>
      <c r="F13" s="3" t="s">
        <v>1</v>
      </c>
      <c r="G13" s="3" t="str" vm="2">
        <f>CUBEMEMBER("ThisWorkbookDataModel","[Measures].[Total Revenue]")</f>
        <v>Total Revenue</v>
      </c>
      <c r="I13" s="53" t="s">
        <v>28</v>
      </c>
      <c r="J13" s="56">
        <v>0.52702078151098919</v>
      </c>
      <c r="L13" s="53" t="s">
        <v>56</v>
      </c>
      <c r="M13" s="54">
        <v>208291.204</v>
      </c>
    </row>
    <row r="14" spans="3:13" x14ac:dyDescent="0.35">
      <c r="C14" s="53" t="s">
        <v>6</v>
      </c>
      <c r="D14" s="54">
        <v>48365.130700000002</v>
      </c>
      <c r="F14" s="14" t="str" vm="5">
        <f>CUBEMEMBER("ThisWorkbookDataModel","[Super_Store_data].[Sub-Category].&amp;[Chairs]")</f>
        <v>Chairs</v>
      </c>
      <c r="G14" s="3" vm="60">
        <f>CUBEVALUE("ThisWorkbookDataModel",$F14,G$13,Slicer_Date__Year)</f>
        <v>328449.103</v>
      </c>
      <c r="I14" s="53" t="s">
        <v>29</v>
      </c>
      <c r="J14" s="56">
        <v>0.30865208757558266</v>
      </c>
      <c r="L14" s="53" t="s">
        <v>57</v>
      </c>
      <c r="M14" s="54">
        <v>117298.68399999999</v>
      </c>
    </row>
    <row r="15" spans="3:13" x14ac:dyDescent="0.35">
      <c r="C15" s="53" t="s">
        <v>7</v>
      </c>
      <c r="D15" s="54">
        <v>52999.463300000003</v>
      </c>
      <c r="F15" s="14" t="str" vm="3">
        <f>CUBEMEMBER("ThisWorkbookDataModel","[Super_Store_data].[Sub-Category].&amp;[Tables]")</f>
        <v>Tables</v>
      </c>
      <c r="G15" s="3" vm="81">
        <f>CUBEVALUE("ThisWorkbookDataModel",$F15,G$13,Slicer_Date__Year)</f>
        <v>206965.53200000001</v>
      </c>
      <c r="I15" s="53" t="s">
        <v>30</v>
      </c>
      <c r="J15" s="56">
        <v>0.16432713091342815</v>
      </c>
      <c r="L15" s="53" t="s">
        <v>58</v>
      </c>
      <c r="M15" s="54">
        <v>252612.74350000001</v>
      </c>
    </row>
    <row r="16" spans="3:13" x14ac:dyDescent="0.35">
      <c r="C16" s="53" t="s">
        <v>8</v>
      </c>
      <c r="D16" s="54">
        <v>49377.012000000002</v>
      </c>
      <c r="F16" s="14" t="str" vm="1">
        <f>CUBEMEMBER("ThisWorkbookDataModel","[Super_Store_data].[Sub-Category].&amp;[Bookcases]")</f>
        <v>Bookcases</v>
      </c>
      <c r="G16" s="3" vm="85">
        <f>CUBEVALUE("ThisWorkbookDataModel",$F16,G$13,Slicer_Date__Year)</f>
        <v>114879.9963</v>
      </c>
      <c r="L16" s="53" t="s">
        <v>43</v>
      </c>
      <c r="M16" s="54">
        <v>741999.7953</v>
      </c>
    </row>
    <row r="17" spans="3:13" x14ac:dyDescent="0.35">
      <c r="C17" s="53" t="s">
        <v>9</v>
      </c>
      <c r="D17" s="54">
        <v>44884.044999999998</v>
      </c>
      <c r="F17" s="14" t="str" vm="4">
        <f>CUBEMEMBER("ThisWorkbookDataModel","[Super_Store_data].[Sub-Category].&amp;[Furnishings]")</f>
        <v>Furnishings</v>
      </c>
      <c r="G17" s="3" vm="104">
        <f>CUBEVALUE("ThisWorkbookDataModel",$F17,G$13,Slicer_Date__Year)</f>
        <v>91705.164000000004</v>
      </c>
      <c r="I17" s="59" t="s">
        <v>0</v>
      </c>
      <c r="J17" s="59"/>
      <c r="K17" s="59"/>
      <c r="L17" s="59"/>
    </row>
    <row r="18" spans="3:13" x14ac:dyDescent="0.35">
      <c r="C18" s="53" t="s">
        <v>10</v>
      </c>
      <c r="D18" s="54">
        <v>106380.5907</v>
      </c>
      <c r="F18" s="59" t="s">
        <v>32</v>
      </c>
      <c r="G18" s="60"/>
      <c r="I18" s="52" t="s">
        <v>1</v>
      </c>
      <c r="J18" t="s">
        <v>52</v>
      </c>
      <c r="K18" s="52" t="s">
        <v>54</v>
      </c>
      <c r="L18" t="s">
        <v>53</v>
      </c>
    </row>
    <row r="19" spans="3:13" x14ac:dyDescent="0.35">
      <c r="C19" s="53" t="s">
        <v>11</v>
      </c>
      <c r="D19" s="54">
        <v>58087.515700000004</v>
      </c>
      <c r="F19" s="3" t="s">
        <v>1</v>
      </c>
      <c r="G19" s="3" t="str" vm="2">
        <f>CUBEMEMBER("ThisWorkbookDataModel","[Measures].[Total Revenue]")</f>
        <v>Total Revenue</v>
      </c>
      <c r="I19" s="53" t="s">
        <v>40</v>
      </c>
      <c r="J19" s="51">
        <v>8.4770927158646717E-2</v>
      </c>
      <c r="K19" t="s">
        <v>39</v>
      </c>
      <c r="L19" s="54">
        <v>157192.85310000001</v>
      </c>
      <c r="M19" s="7">
        <f>GETPIVOTDATA("[Measures].[AdjustedKPIs]",$K$18,"[Calendar].[Date (Year)]","[Calendar].[Date (Year)].&amp;[2014]")</f>
        <v>157192.85310000001</v>
      </c>
    </row>
    <row r="20" spans="3:13" x14ac:dyDescent="0.35">
      <c r="C20" s="53" t="s">
        <v>12</v>
      </c>
      <c r="D20" s="54">
        <v>121286.049</v>
      </c>
      <c r="F20" s="14" t="str" vm="39">
        <f>CUBEMEMBER("ThisWorkbookDataModel","[Super_Store_data].[State].&amp;[California]")</f>
        <v>California</v>
      </c>
      <c r="G20" s="1" vm="91">
        <f>CUBEVALUE("ThisWorkbookDataModel",$F20,G$19,Slicer_Date__Year,Slicer_Region1)</f>
        <v>156064.60149999999</v>
      </c>
      <c r="I20" s="53" t="s">
        <v>41</v>
      </c>
      <c r="J20" s="51">
        <v>0.16645257128714017</v>
      </c>
      <c r="K20" t="s">
        <v>40</v>
      </c>
      <c r="L20" s="54">
        <v>170518.23699999999</v>
      </c>
    </row>
    <row r="21" spans="3:13" x14ac:dyDescent="0.35">
      <c r="C21" s="53" t="s">
        <v>13</v>
      </c>
      <c r="D21" s="54">
        <v>121817.9675</v>
      </c>
      <c r="F21" s="14" t="str" vm="52">
        <f>CUBEMEMBER("ThisWorkbookDataModel","[Super_Store_data].[State].&amp;[New York]")</f>
        <v>New York</v>
      </c>
      <c r="G21" s="1" vm="103">
        <f>CUBEVALUE("ThisWorkbookDataModel",$F21,G$19,Slicer_Date__Year,Slicer_Region1)</f>
        <v>93372.729000000007</v>
      </c>
      <c r="I21" s="53" t="s">
        <v>42</v>
      </c>
      <c r="J21" s="51">
        <v>8.288443528381545E-2</v>
      </c>
      <c r="K21" t="s">
        <v>41</v>
      </c>
      <c r="L21" s="54">
        <v>198901.43599999999</v>
      </c>
    </row>
    <row r="22" spans="3:13" x14ac:dyDescent="0.35">
      <c r="F22" s="14" t="str" vm="45">
        <f>CUBEMEMBER("ThisWorkbookDataModel","[Super_Store_data].[State].&amp;[Texas]")</f>
        <v>Texas</v>
      </c>
      <c r="G22" s="1" vm="75">
        <f>CUBEVALUE("ThisWorkbookDataModel",$F22,G$19,Slicer_Date__Year,Slicer_Region1)</f>
        <v>60593.291799999999</v>
      </c>
      <c r="K22" t="s">
        <v>42</v>
      </c>
      <c r="L22" s="54">
        <v>215387.26920000001</v>
      </c>
    </row>
    <row r="23" spans="3:13" x14ac:dyDescent="0.35">
      <c r="F23" s="14" t="str" vm="38">
        <f>CUBEMEMBER("ThisWorkbookDataModel","[Super_Store_data].[State].&amp;[Washington]")</f>
        <v>Washington</v>
      </c>
      <c r="G23" s="1" vm="79">
        <f>CUBEVALUE("ThisWorkbookDataModel",$F23,G$19,Slicer_Date__Year,Slicer_Region1)</f>
        <v>48020.152000000002</v>
      </c>
      <c r="K23" t="s">
        <v>43</v>
      </c>
      <c r="L23" s="54">
        <v>741999.7953</v>
      </c>
      <c r="M23" s="15">
        <f>GETPIVOTDATA("[Measures].[AdjustedKPIs]",$K$18)</f>
        <v>741999.7953</v>
      </c>
    </row>
    <row r="24" spans="3:13" x14ac:dyDescent="0.35">
      <c r="F24" s="14" t="str" vm="31">
        <f>CUBEMEMBER("ThisWorkbookDataModel","[Super_Store_data].[State].&amp;[Pennsylvania]")</f>
        <v>Pennsylvania</v>
      </c>
      <c r="G24" s="1" vm="77">
        <f>CUBEVALUE("ThisWorkbookDataModel",$F24,G$19,Slicer_Date__Year,Slicer_Region1)</f>
        <v>39354.930999999997</v>
      </c>
    </row>
    <row r="25" spans="3:13" x14ac:dyDescent="0.35">
      <c r="F25" s="14" t="str" vm="23">
        <f>CUBEMEMBER("ThisWorkbookDataModel","[Super_Store_data].[State].&amp;[Illinois]")</f>
        <v>Illinois</v>
      </c>
      <c r="G25" s="1" vm="68">
        <f>CUBEVALUE("ThisWorkbookDataModel",$F25,G$19,Slicer_Date__Year,Slicer_Region1)</f>
        <v>28274.522000000001</v>
      </c>
    </row>
    <row r="26" spans="3:13" x14ac:dyDescent="0.35">
      <c r="F26" s="14" t="str" vm="17">
        <f>CUBEMEMBER("ThisWorkbookDataModel","[Super_Store_data].[State].&amp;[Virginia]")</f>
        <v>Virginia</v>
      </c>
      <c r="G26" s="1" vm="84">
        <f>CUBEVALUE("ThisWorkbookDataModel",$F26,G$19,Slicer_Date__Year,Slicer_Region1)</f>
        <v>25321.95</v>
      </c>
      <c r="I26" s="59" t="s">
        <v>44</v>
      </c>
      <c r="J26" s="59"/>
      <c r="K26" s="59"/>
      <c r="L26" s="59"/>
    </row>
    <row r="27" spans="3:13" x14ac:dyDescent="0.35">
      <c r="F27" s="14" t="str" vm="11">
        <f>CUBEMEMBER("ThisWorkbookDataModel","[Super_Store_data].[State].&amp;[Ohio]")</f>
        <v>Ohio</v>
      </c>
      <c r="G27" s="1" vm="71">
        <f>CUBEVALUE("ThisWorkbookDataModel",$F27,G$19,Slicer_Date__Year,Slicer_Region1)</f>
        <v>24199.145</v>
      </c>
      <c r="I27" s="52" t="s">
        <v>1</v>
      </c>
      <c r="J27" t="s">
        <v>60</v>
      </c>
      <c r="K27" t="s">
        <v>59</v>
      </c>
    </row>
    <row r="28" spans="3:13" x14ac:dyDescent="0.35">
      <c r="F28" s="14" t="str" vm="25">
        <f>CUBEMEMBER("ThisWorkbookDataModel","[Super_Store_data].[State].&amp;[Florida]")</f>
        <v>Florida</v>
      </c>
      <c r="G28" s="1" vm="66">
        <f>CUBEVALUE("ThisWorkbookDataModel",$F28,G$19,Slicer_Date__Year,Slicer_Region1)</f>
        <v>22987.038</v>
      </c>
      <c r="I28" s="53" t="s">
        <v>39</v>
      </c>
      <c r="J28" s="54">
        <v>16024.4892</v>
      </c>
      <c r="K28" s="57"/>
      <c r="L28" s="16"/>
      <c r="M28" s="10">
        <f>GETPIVOTDATA("[Measures].[KPIsProfit]",$I$27,"[Calendar].[Date (Year)]","[Calendar].[Date (Year)].&amp;[2014]")</f>
        <v>16024.4892</v>
      </c>
    </row>
    <row r="29" spans="3:13" x14ac:dyDescent="0.35">
      <c r="F29" s="14" t="str" vm="51">
        <f>CUBEMEMBER("ThisWorkbookDataModel","[Super_Store_data].[State].&amp;[Michigan]")</f>
        <v>Michigan</v>
      </c>
      <c r="G29" s="1" vm="83">
        <f>CUBEVALUE("ThisWorkbookDataModel",$F29,G$19,Slicer_Date__Year,Slicer_Region1)</f>
        <v>22321.1</v>
      </c>
      <c r="I29" s="53" t="s">
        <v>40</v>
      </c>
      <c r="J29" s="54">
        <v>18774.003799999999</v>
      </c>
      <c r="K29" s="57">
        <v>0.17158204331405505</v>
      </c>
      <c r="L29" s="2"/>
    </row>
    <row r="30" spans="3:13" x14ac:dyDescent="0.35">
      <c r="F30" s="14" t="str" vm="44">
        <f>CUBEMEMBER("ThisWorkbookDataModel","[Super_Store_data].[State].&amp;[Wisconsin]")</f>
        <v>Wisconsin</v>
      </c>
      <c r="G30" s="1" vm="64">
        <f>CUBEVALUE("ThisWorkbookDataModel",$F30,G$19,Slicer_Date__Year,Slicer_Region1)</f>
        <v>17256.61</v>
      </c>
      <c r="I30" s="53" t="s">
        <v>41</v>
      </c>
      <c r="J30" s="54">
        <v>22278.497599999999</v>
      </c>
      <c r="K30" s="57">
        <v>0.18666736394290115</v>
      </c>
      <c r="L30" s="2"/>
    </row>
    <row r="31" spans="3:13" x14ac:dyDescent="0.35">
      <c r="F31" s="14" t="str" vm="37">
        <f>CUBEMEMBER("ThisWorkbookDataModel","[Super_Store_data].[State].&amp;[North Carolina]")</f>
        <v>North Carolina</v>
      </c>
      <c r="G31" s="1" vm="59">
        <f>CUBEVALUE("ThisWorkbookDataModel",$F31,G$19,Slicer_Date__Year,Slicer_Region1)</f>
        <v>15155.484</v>
      </c>
      <c r="I31" s="53" t="s">
        <v>42</v>
      </c>
      <c r="J31" s="54">
        <v>22310.391199999998</v>
      </c>
      <c r="K31" s="57">
        <v>1.431586661391687E-3</v>
      </c>
      <c r="L31" s="2"/>
    </row>
    <row r="32" spans="3:13" x14ac:dyDescent="0.35">
      <c r="F32" s="14" t="str" vm="30">
        <f>CUBEMEMBER("ThisWorkbookDataModel","[Super_Store_data].[State].&amp;[Arizona]")</f>
        <v>Arizona</v>
      </c>
      <c r="G32" s="1" vm="90">
        <f>CUBEVALUE("ThisWorkbookDataModel",$F32,G$19,Slicer_Date__Year,Slicer_Region1)</f>
        <v>13525.290999999999</v>
      </c>
      <c r="I32" s="53" t="s">
        <v>43</v>
      </c>
      <c r="J32" s="54">
        <v>79387.381800000003</v>
      </c>
      <c r="K32" s="57"/>
      <c r="M32" s="17">
        <f>GETPIVOTDATA("[Measures].[KPIsProfit]",$I$27)</f>
        <v>79387.381800000003</v>
      </c>
    </row>
    <row r="33" spans="6:13" x14ac:dyDescent="0.35">
      <c r="F33" s="14" t="str" vm="22">
        <f>CUBEMEMBER("ThisWorkbookDataModel","[Super_Store_data].[State].&amp;[Tennessee]")</f>
        <v>Tennessee</v>
      </c>
      <c r="G33" s="1" vm="89">
        <f>CUBEVALUE("ThisWorkbookDataModel",$F33,G$19,Slicer_Date__Year,Slicer_Region1)</f>
        <v>13506.732</v>
      </c>
    </row>
    <row r="34" spans="6:13" x14ac:dyDescent="0.35">
      <c r="F34" s="14" t="str" vm="16">
        <f>CUBEMEMBER("ThisWorkbookDataModel","[Super_Store_data].[State].&amp;[Colorado]")</f>
        <v>Colorado</v>
      </c>
      <c r="G34" s="1" vm="58">
        <f>CUBEVALUE("ThisWorkbookDataModel",$F34,G$19,Slicer_Date__Year,Slicer_Region1)</f>
        <v>13243.037</v>
      </c>
    </row>
    <row r="35" spans="6:13" x14ac:dyDescent="0.35">
      <c r="F35" s="14" t="str" vm="10">
        <f>CUBEMEMBER("ThisWorkbookDataModel","[Super_Store_data].[State].&amp;[Kentucky]")</f>
        <v>Kentucky</v>
      </c>
      <c r="G35" s="1" vm="87">
        <f>CUBEVALUE("ThisWorkbookDataModel",$F35,G$19,Slicer_Date__Year,Slicer_Region1)</f>
        <v>12126.84</v>
      </c>
    </row>
    <row r="36" spans="6:13" x14ac:dyDescent="0.35">
      <c r="F36" s="14" t="str" vm="53">
        <f>CUBEMEMBER("ThisWorkbookDataModel","[Super_Store_data].[State].&amp;[Indiana]")</f>
        <v>Indiana</v>
      </c>
      <c r="G36" s="1" vm="67">
        <f>CUBEVALUE("ThisWorkbookDataModel",$F36,G$19,Slicer_Date__Year,Slicer_Region1)</f>
        <v>11496.71</v>
      </c>
      <c r="I36" s="59" t="s">
        <v>101</v>
      </c>
      <c r="J36" s="59"/>
      <c r="K36" s="59"/>
      <c r="L36" s="59"/>
    </row>
    <row r="37" spans="6:13" x14ac:dyDescent="0.35">
      <c r="F37" s="14" t="str" vm="50">
        <f>CUBEMEMBER("ThisWorkbookDataModel","[Super_Store_data].[State].&amp;[Massachusetts]")</f>
        <v>Massachusetts</v>
      </c>
      <c r="G37" s="1" vm="74">
        <f>CUBEVALUE("ThisWorkbookDataModel",$F37,G$19,Slicer_Date__Year,Slicer_Region1)</f>
        <v>10919.064</v>
      </c>
      <c r="I37" s="52" t="s">
        <v>1</v>
      </c>
      <c r="J37" t="s">
        <v>99</v>
      </c>
      <c r="K37" t="s">
        <v>100</v>
      </c>
    </row>
    <row r="38" spans="6:13" x14ac:dyDescent="0.35">
      <c r="F38" s="14" t="str" vm="43">
        <f>CUBEMEMBER("ThisWorkbookDataModel","[Super_Store_data].[State].&amp;[Maryland]")</f>
        <v>Maryland</v>
      </c>
      <c r="G38" s="1" vm="98">
        <f>CUBEVALUE("ThisWorkbookDataModel",$F38,G$19,Slicer_Date__Year,Slicer_Region1)</f>
        <v>9149.2530000000006</v>
      </c>
      <c r="I38" s="53" t="s">
        <v>39</v>
      </c>
      <c r="J38" s="58">
        <v>1623</v>
      </c>
      <c r="K38" s="57"/>
      <c r="L38" s="18"/>
      <c r="M38" s="18">
        <f>GETPIVOTDATA("[Measures].[KPIsQuantity_sold]",$I$37,"[Calendar].[Date (Year)]","[Calendar].[Date (Year)].&amp;[2014]")</f>
        <v>1623</v>
      </c>
    </row>
    <row r="39" spans="6:13" x14ac:dyDescent="0.35">
      <c r="F39" s="14" t="str" vm="36">
        <f>CUBEMEMBER("ThisWorkbookDataModel","[Super_Store_data].[State].&amp;[Georgia]")</f>
        <v>Georgia</v>
      </c>
      <c r="G39" s="1" vm="93">
        <f>CUBEVALUE("ThisWorkbookDataModel",$F39,G$19,Slicer_Date__Year,Slicer_Region1)</f>
        <v>8321.48</v>
      </c>
      <c r="I39" s="53" t="s">
        <v>40</v>
      </c>
      <c r="J39" s="58">
        <v>1775</v>
      </c>
      <c r="K39" s="57">
        <v>9.3653727664818234E-2</v>
      </c>
    </row>
    <row r="40" spans="6:13" x14ac:dyDescent="0.35">
      <c r="F40" s="14" t="str" vm="29">
        <f>CUBEMEMBER("ThisWorkbookDataModel","[Super_Store_data].[State].&amp;[Oklahoma]")</f>
        <v>Oklahoma</v>
      </c>
      <c r="G40" s="1" vm="105">
        <f>CUBEVALUE("ThisWorkbookDataModel",$F40,G$19,Slicer_Date__Year,Slicer_Region1)</f>
        <v>8284.1</v>
      </c>
      <c r="I40" s="53" t="s">
        <v>41</v>
      </c>
      <c r="J40" s="58">
        <v>2193</v>
      </c>
      <c r="K40" s="57">
        <v>0.23549295774647888</v>
      </c>
    </row>
    <row r="41" spans="6:13" x14ac:dyDescent="0.35">
      <c r="F41" s="14" t="str" vm="21">
        <f>CUBEMEMBER("ThisWorkbookDataModel","[Super_Store_data].[State].&amp;[Minnesota]")</f>
        <v>Minnesota</v>
      </c>
      <c r="G41" s="1" vm="56">
        <f>CUBEVALUE("ThisWorkbookDataModel",$F41,G$19,Slicer_Date__Year,Slicer_Region1)</f>
        <v>7611.35</v>
      </c>
      <c r="I41" s="53" t="s">
        <v>42</v>
      </c>
      <c r="J41" s="58">
        <v>2437</v>
      </c>
      <c r="K41" s="57">
        <v>0.11126310989512084</v>
      </c>
    </row>
    <row r="42" spans="6:13" ht="16" x14ac:dyDescent="0.4">
      <c r="F42" s="14" t="str" vm="15">
        <f>CUBEMEMBER("ThisWorkbookDataModel","[Super_Store_data].[State].&amp;[Oregon]")</f>
        <v>Oregon</v>
      </c>
      <c r="G42" s="1" vm="80">
        <f>CUBEVALUE("ThisWorkbookDataModel",$F42,G$19,Slicer_Date__Year,Slicer_Region1)</f>
        <v>6338.13</v>
      </c>
      <c r="I42" s="53" t="s">
        <v>43</v>
      </c>
      <c r="J42" s="58">
        <v>723548.52249999973</v>
      </c>
      <c r="K42" s="57"/>
      <c r="L42" s="19"/>
      <c r="M42" s="20">
        <f>GETPIVOTDATA("[Measures].[KPIsQuantity_sold]",$I$37)</f>
        <v>723548.52249999973</v>
      </c>
    </row>
    <row r="43" spans="6:13" x14ac:dyDescent="0.35">
      <c r="F43" s="14" t="str" vm="9">
        <f>CUBEMEMBER("ThisWorkbookDataModel","[Super_Store_data].[State].&amp;[Alabama]")</f>
        <v>Alabama</v>
      </c>
      <c r="G43" s="1" vm="70">
        <f>CUBEVALUE("ThisWorkbookDataModel",$F43,G$19,Slicer_Date__Year,Slicer_Region1)</f>
        <v>6332.48</v>
      </c>
    </row>
    <row r="44" spans="6:13" x14ac:dyDescent="0.35">
      <c r="F44" s="14" t="str" vm="46">
        <f>CUBEMEMBER("ThisWorkbookDataModel","[Super_Store_data].[State].&amp;[New Jersey]")</f>
        <v>New Jersey</v>
      </c>
      <c r="G44" s="1" vm="101">
        <f>CUBEVALUE("ThisWorkbookDataModel",$F44,G$19,Slicer_Date__Year,Slicer_Region1)</f>
        <v>6307.0420000000004</v>
      </c>
    </row>
    <row r="45" spans="6:13" x14ac:dyDescent="0.35">
      <c r="F45" s="14" t="str" vm="49">
        <f>CUBEMEMBER("ThisWorkbookDataModel","[Super_Store_data].[State].&amp;[Rhode Island]")</f>
        <v>Rhode Island</v>
      </c>
      <c r="G45" s="1" vm="95">
        <f>CUBEVALUE("ThisWorkbookDataModel",$F45,G$19,Slicer_Date__Year,Slicer_Region1)</f>
        <v>5918.7560000000003</v>
      </c>
    </row>
    <row r="46" spans="6:13" x14ac:dyDescent="0.35">
      <c r="F46" s="14" t="str" vm="42">
        <f>CUBEMEMBER("ThisWorkbookDataModel","[Super_Store_data].[State].&amp;[Connecticut]")</f>
        <v>Connecticut</v>
      </c>
      <c r="G46" s="1" vm="94">
        <f>CUBEVALUE("ThisWorkbookDataModel",$F46,G$19,Slicer_Date__Year,Slicer_Region1)</f>
        <v>5174.9870000000001</v>
      </c>
      <c r="I46" s="59" t="s">
        <v>45</v>
      </c>
      <c r="J46" s="59"/>
      <c r="K46" s="59"/>
      <c r="L46" s="59"/>
    </row>
    <row r="47" spans="6:13" x14ac:dyDescent="0.35">
      <c r="F47" s="14" t="str" vm="35">
        <f>CUBEMEMBER("ThisWorkbookDataModel","[Super_Store_data].[State].&amp;[Vermont]")</f>
        <v>Vermont</v>
      </c>
      <c r="G47" s="1" vm="97">
        <f>CUBEVALUE("ThisWorkbookDataModel",$F47,G$19,Slicer_Date__Year,Slicer_Region1)</f>
        <v>5120.1000000000004</v>
      </c>
      <c r="I47" s="52" t="s">
        <v>1</v>
      </c>
      <c r="J47" t="s">
        <v>61</v>
      </c>
      <c r="K47" t="s">
        <v>62</v>
      </c>
    </row>
    <row r="48" spans="6:13" x14ac:dyDescent="0.35">
      <c r="F48" s="14" t="str" vm="28">
        <f>CUBEMEMBER("ThisWorkbookDataModel","[Super_Store_data].[State].&amp;[Utah]")</f>
        <v>Utah</v>
      </c>
      <c r="G48" s="1" vm="73">
        <f>CUBEVALUE("ThisWorkbookDataModel",$F48,G$19,Slicer_Date__Year,Slicer_Region1)</f>
        <v>4822.3500000000004</v>
      </c>
      <c r="I48" s="53" t="s">
        <v>39</v>
      </c>
      <c r="J48" s="55">
        <v>76.659999999999954</v>
      </c>
      <c r="K48" s="57"/>
      <c r="M48" s="21">
        <f>GETPIVOTDATA("[Measures].[KPIsDiscount]",$I$47,"[Calendar].[Date (Year)]","[Calendar].[Date (Year)].&amp;[2014]")</f>
        <v>76.659999999999954</v>
      </c>
    </row>
    <row r="49" spans="6:13" x14ac:dyDescent="0.35">
      <c r="F49" s="14" t="str" vm="20">
        <f>CUBEMEMBER("ThisWorkbookDataModel","[Super_Store_data].[State].&amp;[Delaware]")</f>
        <v>Delaware</v>
      </c>
      <c r="G49" s="1" vm="65">
        <f>CUBEVALUE("ThisWorkbookDataModel",$F49,G$19,Slicer_Date__Year,Slicer_Region1)</f>
        <v>4759.3190000000004</v>
      </c>
      <c r="I49" s="53" t="s">
        <v>40</v>
      </c>
      <c r="J49" s="55">
        <v>76.289999999999964</v>
      </c>
      <c r="K49" s="57">
        <v>-4.8265066527532121E-3</v>
      </c>
    </row>
    <row r="50" spans="6:13" x14ac:dyDescent="0.35">
      <c r="F50" s="14" t="str" vm="14">
        <f>CUBEMEMBER("ThisWorkbookDataModel","[Super_Store_data].[State].&amp;[Nevada]")</f>
        <v>Nevada</v>
      </c>
      <c r="G50" s="1" vm="86">
        <f>CUBEVALUE("ThisWorkbookDataModel",$F50,G$19,Slicer_Date__Year,Slicer_Region1)</f>
        <v>4635.1719999999996</v>
      </c>
      <c r="I50" s="53" t="s">
        <v>41</v>
      </c>
      <c r="J50" s="55">
        <v>99.419999999999902</v>
      </c>
      <c r="K50" s="57">
        <v>0.30318521431380119</v>
      </c>
    </row>
    <row r="51" spans="6:13" x14ac:dyDescent="0.35">
      <c r="F51" s="14" t="str" vm="8">
        <f>CUBEMEMBER("ThisWorkbookDataModel","[Super_Store_data].[State].&amp;[Mississippi]")</f>
        <v>Mississippi</v>
      </c>
      <c r="G51" s="1" vm="92">
        <f>CUBEVALUE("ThisWorkbookDataModel",$F51,G$19,Slicer_Date__Year,Slicer_Region1)</f>
        <v>4317.8500000000004</v>
      </c>
      <c r="I51" s="53" t="s">
        <v>42</v>
      </c>
      <c r="J51" s="55">
        <v>116.51999999999984</v>
      </c>
      <c r="K51" s="57">
        <v>0.17199758599879086</v>
      </c>
    </row>
    <row r="52" spans="6:13" ht="18.5" x14ac:dyDescent="0.35">
      <c r="F52" s="14" t="str" vm="32">
        <f>CUBEMEMBER("ThisWorkbookDataModel","[Super_Store_data].[State].&amp;[Arkansas]")</f>
        <v>Arkansas</v>
      </c>
      <c r="G52" s="1" vm="96">
        <f>CUBEVALUE("ThisWorkbookDataModel",$F52,G$19,Slicer_Date__Year,Slicer_Region1)</f>
        <v>3187.55</v>
      </c>
      <c r="I52" s="53" t="s">
        <v>43</v>
      </c>
      <c r="J52" s="55">
        <v>368.89000000000067</v>
      </c>
      <c r="K52" s="57"/>
      <c r="M52" s="22">
        <f>GETPIVOTDATA("[Measures].[KPIsDiscount]",$I$47)</f>
        <v>368.89000000000067</v>
      </c>
    </row>
    <row r="53" spans="6:13" x14ac:dyDescent="0.35">
      <c r="F53" s="14" t="str" vm="48">
        <f>CUBEMEMBER("ThisWorkbookDataModel","[Super_Store_data].[State].&amp;[South Carolina]")</f>
        <v>South Carolina</v>
      </c>
      <c r="G53" s="1" vm="72">
        <f>CUBEVALUE("ThisWorkbookDataModel",$F53,G$19,Slicer_Date__Year,Slicer_Region1)</f>
        <v>3078.25</v>
      </c>
    </row>
    <row r="54" spans="6:13" x14ac:dyDescent="0.35">
      <c r="F54" s="14" t="str" vm="41">
        <f>CUBEMEMBER("ThisWorkbookDataModel","[Super_Store_data].[State].&amp;[Louisiana]")</f>
        <v>Louisiana</v>
      </c>
      <c r="G54" s="1" vm="61">
        <f>CUBEVALUE("ThisWorkbookDataModel",$F54,G$19,Slicer_Date__Year,Slicer_Region1)</f>
        <v>2963.03</v>
      </c>
    </row>
    <row r="55" spans="6:13" x14ac:dyDescent="0.35">
      <c r="F55" s="14" t="str" vm="34">
        <f>CUBEMEMBER("ThisWorkbookDataModel","[Super_Store_data].[State].&amp;[Missouri]")</f>
        <v>Missouri</v>
      </c>
      <c r="G55" s="1" vm="100">
        <f>CUBEVALUE("ThisWorkbookDataModel",$F55,G$19,Slicer_Date__Year,Slicer_Region1)</f>
        <v>2936.45</v>
      </c>
    </row>
    <row r="56" spans="6:13" x14ac:dyDescent="0.35">
      <c r="F56" s="14" t="str" vm="27">
        <f>CUBEMEMBER("ThisWorkbookDataModel","[Super_Store_data].[State].&amp;[Iowa]")</f>
        <v>Iowa</v>
      </c>
      <c r="G56" s="1" vm="63">
        <f>CUBEVALUE("ThisWorkbookDataModel",$F56,G$19,Slicer_Date__Year,Slicer_Region1)</f>
        <v>2642.31</v>
      </c>
    </row>
    <row r="57" spans="6:13" x14ac:dyDescent="0.35">
      <c r="F57" s="14" t="str" vm="19">
        <f>CUBEMEMBER("ThisWorkbookDataModel","[Super_Store_data].[State].&amp;[Idaho]")</f>
        <v>Idaho</v>
      </c>
      <c r="G57" s="1" vm="57">
        <f>CUBEVALUE("ThisWorkbookDataModel",$F57,G$19,Slicer_Date__Year,Slicer_Region1)</f>
        <v>2595.482</v>
      </c>
      <c r="I57" s="59" t="s">
        <v>46</v>
      </c>
      <c r="J57" s="59"/>
      <c r="K57" s="59"/>
      <c r="L57" s="59"/>
    </row>
    <row r="58" spans="6:13" x14ac:dyDescent="0.35">
      <c r="F58" s="14" t="str" vm="13">
        <f>CUBEMEMBER("ThisWorkbookDataModel","[Super_Store_data].[State].&amp;[Nebraska]")</f>
        <v>Nebraska</v>
      </c>
      <c r="G58" s="1" vm="99">
        <f>CUBEVALUE("ThisWorkbookDataModel",$F58,G$19,Slicer_Date__Year,Slicer_Region1)</f>
        <v>1944.7</v>
      </c>
      <c r="I58" s="52" t="s">
        <v>1</v>
      </c>
      <c r="J58" t="s">
        <v>63</v>
      </c>
      <c r="K58" t="s">
        <v>64</v>
      </c>
    </row>
    <row r="59" spans="6:13" x14ac:dyDescent="0.35">
      <c r="F59" s="14" t="str" vm="7">
        <f>CUBEMEMBER("ThisWorkbookDataModel","[Super_Store_data].[State].&amp;[New Hampshire]")</f>
        <v>New Hampshire</v>
      </c>
      <c r="G59" s="1" vm="54">
        <f>CUBEVALUE("ThisWorkbookDataModel",$F59,G$19,Slicer_Date__Year,Slicer_Region1)</f>
        <v>1886.4739999999999</v>
      </c>
      <c r="I59" s="53" t="s">
        <v>39</v>
      </c>
      <c r="J59" s="54">
        <v>151735.12759999989</v>
      </c>
      <c r="K59" s="57"/>
      <c r="M59" s="10">
        <f>GETPIVOTDATA("[Measures].[KPIsCost]",$I$58,"[Calendar].[Date (Year)]","[Calendar].[Date (Year)].&amp;[2014]")</f>
        <v>151735.12759999989</v>
      </c>
    </row>
    <row r="60" spans="6:13" x14ac:dyDescent="0.35">
      <c r="F60" s="14" t="str" vm="24">
        <f>CUBEMEMBER("ThisWorkbookDataModel","[Super_Store_data].[State].&amp;[New Mexico]")</f>
        <v>New Mexico</v>
      </c>
      <c r="G60" s="1" vm="69">
        <f>CUBEVALUE("ThisWorkbookDataModel",$F60,G$19,Slicer_Date__Year,Slicer_Region1)</f>
        <v>1701.412</v>
      </c>
      <c r="I60" s="53" t="s">
        <v>40</v>
      </c>
      <c r="J60" s="54">
        <v>167503.03410000005</v>
      </c>
      <c r="K60" s="57">
        <v>0.10391731136620538</v>
      </c>
    </row>
    <row r="61" spans="6:13" x14ac:dyDescent="0.35">
      <c r="F61" s="14" t="str" vm="47">
        <f>CUBEMEMBER("ThisWorkbookDataModel","[Super_Store_data].[State].&amp;[Wyoming]")</f>
        <v>Wyoming</v>
      </c>
      <c r="G61" s="1" vm="102">
        <f>CUBEVALUE("ThisWorkbookDataModel",$F61,G$19,Slicer_Date__Year,Slicer_Region1)</f>
        <v>1603.136</v>
      </c>
      <c r="I61" s="53" t="s">
        <v>41</v>
      </c>
      <c r="J61" s="54">
        <v>191941.48289999977</v>
      </c>
      <c r="K61" s="57">
        <v>0.16645257128714017</v>
      </c>
    </row>
    <row r="62" spans="6:13" x14ac:dyDescent="0.35">
      <c r="F62" s="14" t="str" vm="40">
        <f>CUBEMEMBER("ThisWorkbookDataModel","[Super_Store_data].[State].&amp;[District of Columbia]")</f>
        <v>District of Columbia</v>
      </c>
      <c r="G62" s="1" vm="55">
        <f>CUBEVALUE("ThisWorkbookDataModel",$F62,G$19,Slicer_Date__Year,Slicer_Region1)</f>
        <v>1346.58</v>
      </c>
      <c r="I62" s="53" t="s">
        <v>42</v>
      </c>
      <c r="J62" s="54">
        <v>212368.87790000005</v>
      </c>
      <c r="K62" s="57">
        <v>0.10642511817334728</v>
      </c>
    </row>
    <row r="63" spans="6:13" x14ac:dyDescent="0.35">
      <c r="F63" s="14" t="str" vm="33">
        <f>CUBEMEMBER("ThisWorkbookDataModel","[Super_Store_data].[State].&amp;[West Virginia]")</f>
        <v>West Virginia</v>
      </c>
      <c r="G63" s="1" vm="78">
        <f>CUBEVALUE("ThisWorkbookDataModel",$F63,G$19,Slicer_Date__Year,Slicer_Region1)</f>
        <v>673.34400000000005</v>
      </c>
      <c r="I63" s="53" t="s">
        <v>43</v>
      </c>
      <c r="J63" s="54">
        <v>723548.52249999973</v>
      </c>
      <c r="K63" s="57"/>
      <c r="M63" s="17">
        <f>GETPIVOTDATA("[Measures].[KPIsCost]",$I$58)</f>
        <v>723548.52249999973</v>
      </c>
    </row>
    <row r="64" spans="6:13" x14ac:dyDescent="0.35">
      <c r="F64" s="14" t="str" vm="26">
        <f>CUBEMEMBER("ThisWorkbookDataModel","[Super_Store_data].[State].&amp;[South Dakota]")</f>
        <v>South Dakota</v>
      </c>
      <c r="G64" s="1" vm="82">
        <f>CUBEVALUE("ThisWorkbookDataModel",$F64,G$19,Slicer_Date__Year,Slicer_Region1)</f>
        <v>324.89999999999998</v>
      </c>
    </row>
    <row r="65" spans="6:7" x14ac:dyDescent="0.35">
      <c r="F65" s="14" t="str" vm="18">
        <f>CUBEMEMBER("ThisWorkbookDataModel","[Super_Store_data].[State].&amp;[Kansas]")</f>
        <v>Kansas</v>
      </c>
      <c r="G65" s="1" vm="76">
        <f>CUBEVALUE("ThisWorkbookDataModel",$F65,G$19,Slicer_Date__Year,Slicer_Region1)</f>
        <v>111.12</v>
      </c>
    </row>
    <row r="66" spans="6:7" x14ac:dyDescent="0.35">
      <c r="F66" s="14" t="str" vm="12">
        <f>CUBEMEMBER("ThisWorkbookDataModel","[Super_Store_data].[State].&amp;[Maine]")</f>
        <v>Maine</v>
      </c>
      <c r="G66" s="1" vm="62">
        <f>CUBEVALUE("ThisWorkbookDataModel",$F66,G$19,Slicer_Date__Year,Slicer_Region1)</f>
        <v>109.48</v>
      </c>
    </row>
    <row r="67" spans="6:7" x14ac:dyDescent="0.35">
      <c r="F67" s="14" t="str" vm="6">
        <f>CUBEMEMBER("ThisWorkbookDataModel","[Super_Store_data].[State].&amp;[Montana]")</f>
        <v>Montana</v>
      </c>
      <c r="G67" s="1" vm="88">
        <f>CUBEVALUE("ThisWorkbookDataModel",$F67,G$19,Slicer_Date__Year,Slicer_Region1)</f>
        <v>63.98</v>
      </c>
    </row>
    <row r="68" spans="6:7" x14ac:dyDescent="0.35">
      <c r="F68" s="14"/>
      <c r="G68" s="23"/>
    </row>
  </sheetData>
  <sheetProtection algorithmName="SHA-512" hashValue="7tPQDVm1ISbaRqcPcUHL++dGPdqfYAGpR/L+pzpc0MqMB9kMkZ2DA0YxivQDA2EsoWV100p7/lU1N2tyfHWS5A==" saltValue="XRa1be5HlS0NzskyH194DA==" spinCount="100000" scenarios="1" autoFilter="0" pivotTables="0"/>
  <mergeCells count="13">
    <mergeCell ref="I36:L36"/>
    <mergeCell ref="I46:L46"/>
    <mergeCell ref="I57:L57"/>
    <mergeCell ref="L1:M1"/>
    <mergeCell ref="C1:D1"/>
    <mergeCell ref="C8:D8"/>
    <mergeCell ref="I17:L17"/>
    <mergeCell ref="I26:L26"/>
    <mergeCell ref="I11:J11"/>
    <mergeCell ref="F18:G18"/>
    <mergeCell ref="F12:G12"/>
    <mergeCell ref="F1:G1"/>
    <mergeCell ref="I1:J1"/>
  </mergeCells>
  <conditionalFormatting sqref="E2">
    <cfRule type="iconSet" priority="36">
      <iconSet iconSet="3Signs">
        <cfvo type="percent" val="0"/>
        <cfvo type="percent" val="33"/>
        <cfvo type="percent" val="67"/>
      </iconSet>
    </cfRule>
  </conditionalFormatting>
  <conditionalFormatting sqref="F68:G68 F32:F67">
    <cfRule type="top10" priority="32" rank="10"/>
  </conditionalFormatting>
  <pageMargins left="0.7" right="0.7" top="0.75" bottom="0.75" header="0.3" footer="0.3"/>
  <pageSetup paperSize="9" orientation="portrait" r:id="rId14"/>
  <extLst>
    <ext xmlns:x14="http://schemas.microsoft.com/office/spreadsheetml/2009/9/main" uri="{78C0D931-6437-407d-A8EE-F0AAD7539E65}">
      <x14:conditionalFormattings>
        <x14:conditionalFormatting xmlns:xm="http://schemas.microsoft.com/office/excel/2006/main">
          <x14:cfRule type="iconSet" priority="34" id="{DF0C115F-554D-4515-BD92-BC3252CFF00D}">
            <x14:iconSet custom="1">
              <x14:cfvo type="percent">
                <xm:f>0</xm:f>
              </x14:cfvo>
              <x14:cfvo type="percent">
                <xm:f>33</xm:f>
              </x14:cfvo>
              <x14:cfvo type="percent">
                <xm:f>67</xm:f>
              </x14:cfvo>
              <x14:cfIcon iconSet="3Triangles" iconId="0"/>
              <x14:cfIcon iconSet="3Triangles" iconId="1"/>
              <x14:cfIcon iconSet="3Triangles" iconId="2"/>
            </x14:iconSet>
          </x14:cfRule>
          <x14:cfRule type="iconSet" priority="35" id="{DA0D257E-50F0-41CE-857F-0CFE3D56D235}">
            <x14:iconSet custom="1">
              <x14:cfvo type="percent">
                <xm:f>0</xm:f>
              </x14:cfvo>
              <x14:cfvo type="percent">
                <xm:f>45</xm:f>
              </x14:cfvo>
              <x14:cfvo type="percent">
                <xm:f>67</xm:f>
              </x14:cfvo>
              <x14:cfIcon iconSet="3Triangles" iconId="0"/>
              <x14:cfIcon iconSet="3Triangles" iconId="1"/>
              <x14:cfIcon iconSet="3Signs" iconId="1"/>
            </x14:iconSet>
          </x14:cfRule>
          <xm:sqref>E2</xm:sqref>
        </x14:conditionalFormatting>
        <x14:conditionalFormatting xmlns:xm="http://schemas.microsoft.com/office/excel/2006/main">
          <x14:cfRule type="iconSet" priority="26" id="{F982CE48-C9C2-4132-BE36-987D79E23CAB}">
            <x14:iconSet iconSet="3Triangles">
              <x14:cfvo type="percent">
                <xm:f>0</xm:f>
              </x14:cfvo>
              <x14:cfvo type="percent">
                <xm:f>33</xm:f>
              </x14:cfvo>
              <x14:cfvo type="percent">
                <xm:f>67</xm:f>
              </x14:cfvo>
            </x14:iconSet>
          </x14:cfRule>
          <xm:sqref>L27</xm:sqref>
        </x14:conditionalFormatting>
        <x14:conditionalFormatting xmlns:xm="http://schemas.microsoft.com/office/excel/2006/main">
          <x14:cfRule type="iconSet" priority="25" id="{E495EAAC-74D4-4C90-AE33-FA9FF7706DBA}">
            <x14:iconSet iconSet="3Triangles">
              <x14:cfvo type="percent">
                <xm:f>0</xm:f>
              </x14:cfvo>
              <x14:cfvo type="percent">
                <xm:f>33</xm:f>
              </x14:cfvo>
              <x14:cfvo type="percent">
                <xm:f>67</xm:f>
              </x14:cfvo>
            </x14:iconSet>
          </x14:cfRule>
          <xm:sqref>L37</xm:sqref>
        </x14:conditionalFormatting>
        <x14:conditionalFormatting xmlns:xm="http://schemas.microsoft.com/office/excel/2006/main">
          <x14:cfRule type="iconSet" priority="23" id="{636762E1-2B7A-4E4D-800C-810C66984042}">
            <x14:iconSet iconSet="3Triangles">
              <x14:cfvo type="percent">
                <xm:f>0</xm:f>
              </x14:cfvo>
              <x14:cfvo type="percent">
                <xm:f>33</xm:f>
              </x14:cfvo>
              <x14:cfvo type="percent">
                <xm:f>67</xm:f>
              </x14:cfvo>
            </x14:iconSet>
          </x14:cfRule>
          <xm:sqref>L47</xm:sqref>
        </x14:conditionalFormatting>
        <x14:conditionalFormatting xmlns:xm="http://schemas.microsoft.com/office/excel/2006/main">
          <x14:cfRule type="iconSet" priority="19" id="{0D36E314-7B3E-445A-92A9-734EC4EB21ED}">
            <x14:iconSet iconSet="3Triangles">
              <x14:cfvo type="percent">
                <xm:f>0</xm:f>
              </x14:cfvo>
              <x14:cfvo type="percent">
                <xm:f>33</xm:f>
              </x14:cfvo>
              <x14:cfvo type="percent">
                <xm:f>67</xm:f>
              </x14:cfvo>
            </x14:iconSet>
          </x14:cfRule>
          <xm:sqref>L58</xm:sqref>
        </x14:conditionalFormatting>
        <x14:conditionalFormatting xmlns:xm="http://schemas.microsoft.com/office/excel/2006/main">
          <x14:cfRule type="iconSet" priority="16" id="{DC3F4E8B-246D-4A89-894B-85B3F78BB97B}">
            <x14:iconSet iconSet="3Triangles">
              <x14:cfvo type="percent">
                <xm:f>0</xm:f>
              </x14:cfvo>
              <x14:cfvo type="percent">
                <xm:f>33</xm:f>
              </x14:cfvo>
              <x14:cfvo type="percent">
                <xm:f>67</xm:f>
              </x14:cfvo>
            </x14:iconSet>
          </x14:cfRule>
          <xm:sqref>N18</xm:sqref>
        </x14:conditionalFormatting>
        <x14:conditionalFormatting xmlns:xm="http://schemas.microsoft.com/office/excel/2006/main" pivot="1">
          <x14:cfRule type="iconSet" priority="8" id="{76921ADE-31E7-4794-A429-D44F21A9EA02}">
            <x14:iconSet iconSet="3Triangles">
              <x14:cfvo type="percent">
                <xm:f>0</xm:f>
              </x14:cfvo>
              <x14:cfvo type="percent">
                <xm:f>33</xm:f>
              </x14:cfvo>
              <x14:cfvo type="percent">
                <xm:f>67</xm:f>
              </x14:cfvo>
            </x14:iconSet>
          </x14:cfRule>
          <xm:sqref>J19:J21</xm:sqref>
        </x14:conditionalFormatting>
        <x14:conditionalFormatting xmlns:xm="http://schemas.microsoft.com/office/excel/2006/main" pivot="1">
          <x14:cfRule type="iconSet" priority="6" id="{80A166DD-5CD1-4251-B116-3C5CA13CFFE4}">
            <x14:iconSet iconSet="3Triangles">
              <x14:cfvo type="percent">
                <xm:f>0</xm:f>
              </x14:cfvo>
              <x14:cfvo type="percent">
                <xm:f>33</xm:f>
              </x14:cfvo>
              <x14:cfvo type="percent">
                <xm:f>67</xm:f>
              </x14:cfvo>
            </x14:iconSet>
          </x14:cfRule>
          <xm:sqref>K28:K31</xm:sqref>
        </x14:conditionalFormatting>
        <x14:conditionalFormatting xmlns:xm="http://schemas.microsoft.com/office/excel/2006/main" pivot="1">
          <x14:cfRule type="iconSet" priority="4" id="{58539993-4A8F-4B22-9726-817635FA9614}">
            <x14:iconSet iconSet="3Triangles">
              <x14:cfvo type="percent">
                <xm:f>0</xm:f>
              </x14:cfvo>
              <x14:cfvo type="percent">
                <xm:f>33</xm:f>
              </x14:cfvo>
              <x14:cfvo type="percent">
                <xm:f>67</xm:f>
              </x14:cfvo>
            </x14:iconSet>
          </x14:cfRule>
          <xm:sqref>K48:K52</xm:sqref>
        </x14:conditionalFormatting>
        <x14:conditionalFormatting xmlns:xm="http://schemas.microsoft.com/office/excel/2006/main" pivot="1">
          <x14:cfRule type="iconSet" priority="3" id="{A9E99E4C-1876-4AA4-A905-5EFF590342D5}">
            <x14:iconSet iconSet="3Triangles">
              <x14:cfvo type="percent">
                <xm:f>0</xm:f>
              </x14:cfvo>
              <x14:cfvo type="percent">
                <xm:f>33</xm:f>
              </x14:cfvo>
              <x14:cfvo type="percent">
                <xm:f>67</xm:f>
              </x14:cfvo>
            </x14:iconSet>
          </x14:cfRule>
          <xm:sqref>K59:K63</xm:sqref>
        </x14:conditionalFormatting>
        <x14:conditionalFormatting xmlns:xm="http://schemas.microsoft.com/office/excel/2006/main" pivot="1">
          <x14:cfRule type="iconSet" priority="2" id="{929380FB-90B2-44D1-8D83-8B13D7342E40}">
            <x14:iconSet iconSet="3Triangles">
              <x14:cfvo type="percent">
                <xm:f>0</xm:f>
              </x14:cfvo>
              <x14:cfvo type="percent">
                <xm:f>33</xm:f>
              </x14:cfvo>
              <x14:cfvo type="percent">
                <xm:f>67</xm:f>
              </x14:cfvo>
            </x14:iconSet>
          </x14:cfRule>
          <xm:sqref>K60:K62</xm:sqref>
        </x14:conditionalFormatting>
        <x14:conditionalFormatting xmlns:xm="http://schemas.microsoft.com/office/excel/2006/main">
          <x14:cfRule type="iconSet" priority="1" id="{8FC95A3F-2629-49C8-9FE3-2088DF910676}">
            <x14:iconSet iconSet="3Triangles">
              <x14:cfvo type="percent">
                <xm:f>0</xm:f>
              </x14:cfvo>
              <x14:cfvo type="percent">
                <xm:f>33</xm:f>
              </x14:cfvo>
              <x14:cfvo type="percent">
                <xm:f>67</xm:f>
              </x14:cfvo>
            </x14:iconSet>
          </x14:cfRule>
          <xm:sqref>L28:L31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DFB00-5470-4F7B-BEBA-027ED99D3D34}">
  <sheetPr codeName="Sheet3">
    <tabColor rgb="FF002060"/>
  </sheetPr>
  <dimension ref="B1:BL383"/>
  <sheetViews>
    <sheetView topLeftCell="R1" zoomScale="99" zoomScaleNormal="99" workbookViewId="0">
      <selection activeCell="T4" sqref="T4"/>
    </sheetView>
  </sheetViews>
  <sheetFormatPr defaultRowHeight="14.5" x14ac:dyDescent="0.35"/>
  <cols>
    <col min="1" max="1" width="8.7265625" style="3"/>
    <col min="2" max="2" width="13.1796875" style="3" bestFit="1" customWidth="1"/>
    <col min="3" max="3" width="17.36328125" style="3" bestFit="1" customWidth="1"/>
    <col min="4" max="4" width="12.6328125" style="3" bestFit="1" customWidth="1"/>
    <col min="5" max="5" width="12.54296875" style="3" bestFit="1" customWidth="1"/>
    <col min="6" max="6" width="9.08984375" style="3" customWidth="1"/>
    <col min="7" max="7" width="12.54296875" style="3" bestFit="1" customWidth="1"/>
    <col min="8" max="8" width="16.08984375" style="3" bestFit="1" customWidth="1"/>
    <col min="9" max="9" width="12.54296875" style="3" bestFit="1" customWidth="1"/>
    <col min="10" max="10" width="9.08984375" style="3" bestFit="1" customWidth="1"/>
    <col min="11" max="11" width="20.36328125" style="3" bestFit="1" customWidth="1"/>
    <col min="12" max="12" width="6" style="3" bestFit="1" customWidth="1"/>
    <col min="13" max="13" width="5.453125" style="3" bestFit="1" customWidth="1"/>
    <col min="14" max="14" width="6.36328125" style="24" bestFit="1" customWidth="1"/>
    <col min="15" max="16" width="6.36328125" style="3" bestFit="1" customWidth="1"/>
    <col min="17" max="17" width="76.6328125" style="3" bestFit="1" customWidth="1"/>
    <col min="18" max="18" width="12" style="3" bestFit="1" customWidth="1"/>
    <col min="19" max="19" width="7.36328125" style="3" bestFit="1" customWidth="1"/>
    <col min="20" max="20" width="7.90625" style="3" bestFit="1" customWidth="1"/>
    <col min="21" max="21" width="75.90625" style="3" bestFit="1" customWidth="1"/>
    <col min="22" max="22" width="12.08984375" style="3" bestFit="1" customWidth="1"/>
    <col min="23" max="23" width="9.81640625" style="3" bestFit="1" customWidth="1"/>
    <col min="24" max="24" width="10.08984375" style="3" bestFit="1" customWidth="1"/>
    <col min="25" max="25" width="10.90625" style="3" customWidth="1"/>
    <col min="26" max="26" width="51.453125" style="3" bestFit="1" customWidth="1"/>
    <col min="27" max="27" width="8.453125" style="3" customWidth="1"/>
    <col min="28" max="28" width="21.26953125" style="3" bestFit="1" customWidth="1"/>
    <col min="29" max="29" width="17.453125" style="3" bestFit="1" customWidth="1"/>
    <col min="30" max="30" width="14.36328125" style="3" bestFit="1" customWidth="1"/>
    <col min="31" max="34" width="8.7265625" style="3"/>
    <col min="35" max="35" width="8.7265625" style="25"/>
    <col min="36" max="36" width="8.7265625" style="3"/>
    <col min="37" max="37" width="76.6328125" style="3" bestFit="1" customWidth="1"/>
    <col min="38" max="38" width="12.6328125" style="3" bestFit="1" customWidth="1"/>
    <col min="39" max="39" width="9.90625" style="3" bestFit="1" customWidth="1"/>
    <col min="40" max="40" width="13" style="3" bestFit="1" customWidth="1"/>
    <col min="41" max="41" width="16.7265625" style="3" bestFit="1" customWidth="1"/>
    <col min="42" max="42" width="16.81640625" style="3" bestFit="1" customWidth="1"/>
    <col min="43" max="43" width="21.7265625" style="3" customWidth="1"/>
    <col min="44" max="44" width="76.6328125" style="3" bestFit="1" customWidth="1"/>
    <col min="45" max="45" width="12.453125" style="3" bestFit="1" customWidth="1"/>
    <col min="46" max="47" width="16.1796875" style="3" bestFit="1" customWidth="1"/>
    <col min="48" max="48" width="16.36328125" style="3" bestFit="1" customWidth="1"/>
    <col min="49" max="49" width="17" style="3" customWidth="1"/>
    <col min="50" max="50" width="8.81640625" style="3" customWidth="1"/>
    <col min="51" max="51" width="73.453125" style="3" bestFit="1" customWidth="1"/>
    <col min="52" max="52" width="8.7265625" style="3"/>
    <col min="53" max="53" width="9.08984375" style="3" customWidth="1"/>
    <col min="54" max="54" width="13.26953125" style="3" customWidth="1"/>
    <col min="55" max="55" width="11.6328125" style="3" customWidth="1"/>
    <col min="56" max="56" width="11.6328125" style="3" bestFit="1" customWidth="1"/>
    <col min="57" max="57" width="8.7265625" style="3"/>
    <col min="58" max="58" width="5.81640625" style="3" customWidth="1"/>
    <col min="59" max="59" width="8.7265625" style="3"/>
    <col min="60" max="60" width="8.7265625" style="25"/>
    <col min="61" max="61" width="8.7265625" style="3"/>
    <col min="62" max="62" width="12.453125" style="3" bestFit="1" customWidth="1"/>
    <col min="63" max="63" width="15.08984375" style="3" bestFit="1" customWidth="1"/>
    <col min="64" max="64" width="9.90625" style="3" bestFit="1" customWidth="1"/>
    <col min="65" max="65" width="12.6328125" style="3" bestFit="1" customWidth="1"/>
    <col min="66" max="66" width="9.90625" style="3" bestFit="1" customWidth="1"/>
    <col min="67" max="67" width="12.6328125" style="3" bestFit="1" customWidth="1"/>
    <col min="68" max="68" width="9.90625" style="3" bestFit="1" customWidth="1"/>
    <col min="69" max="70" width="12.6328125" style="3" bestFit="1" customWidth="1"/>
    <col min="71" max="71" width="14.54296875" style="3" bestFit="1" customWidth="1"/>
    <col min="72" max="72" width="17.36328125" style="3" bestFit="1" customWidth="1"/>
    <col min="73" max="16384" width="8.7265625" style="3"/>
  </cols>
  <sheetData>
    <row r="1" spans="2:64" ht="23.5" x14ac:dyDescent="0.55000000000000004">
      <c r="B1" s="59" t="s">
        <v>76</v>
      </c>
      <c r="C1" s="60"/>
      <c r="D1" s="60"/>
      <c r="E1" s="60"/>
      <c r="H1" s="59" t="s">
        <v>77</v>
      </c>
      <c r="I1" s="60"/>
      <c r="K1" s="3" t="s">
        <v>65</v>
      </c>
      <c r="Q1" s="62" t="s">
        <v>514</v>
      </c>
      <c r="R1" s="60"/>
      <c r="S1" s="60"/>
      <c r="T1" s="60"/>
      <c r="U1" s="60"/>
      <c r="V1" s="60"/>
      <c r="W1" s="60"/>
      <c r="X1" s="60"/>
      <c r="Y1" s="60"/>
      <c r="Z1" s="60"/>
      <c r="AA1" s="60"/>
      <c r="AB1" s="60"/>
      <c r="AC1" s="60"/>
      <c r="AD1" s="60"/>
      <c r="AE1" s="60"/>
      <c r="AF1" s="60"/>
      <c r="AG1" s="60"/>
      <c r="AK1" s="61" t="s">
        <v>513</v>
      </c>
      <c r="AL1" s="61"/>
      <c r="AM1" s="61"/>
      <c r="AN1" s="61"/>
      <c r="AO1" s="61"/>
      <c r="AP1" s="61"/>
      <c r="AQ1" s="61"/>
      <c r="AR1" s="61"/>
      <c r="AS1" s="61"/>
      <c r="AT1" s="61"/>
      <c r="AU1" s="61"/>
      <c r="AV1" s="61"/>
      <c r="AW1" s="61"/>
      <c r="AX1" s="61"/>
      <c r="AY1" s="61"/>
      <c r="AZ1" s="61"/>
      <c r="BA1" s="61"/>
      <c r="BB1" s="61"/>
      <c r="BC1" s="61"/>
      <c r="BD1" s="61"/>
      <c r="BE1" s="61"/>
      <c r="BF1" s="61"/>
      <c r="BJ1" s="59" t="s">
        <v>520</v>
      </c>
      <c r="BK1" s="60"/>
      <c r="BL1" s="60"/>
    </row>
    <row r="2" spans="2:64" x14ac:dyDescent="0.35">
      <c r="B2" s="52" t="s">
        <v>1</v>
      </c>
      <c r="C2" t="s">
        <v>69</v>
      </c>
      <c r="H2" s="52" t="s">
        <v>1</v>
      </c>
      <c r="I2" t="s">
        <v>77</v>
      </c>
      <c r="K2" s="26" t="s">
        <v>66</v>
      </c>
      <c r="Q2" s="52" t="s">
        <v>493</v>
      </c>
      <c r="R2" t="s">
        <v>53</v>
      </c>
      <c r="U2" s="27" t="str" cm="1">
        <f t="array" ref="U2:W382">Q2:S382</f>
        <v>Product Name</v>
      </c>
      <c r="V2" s="27" t="str">
        <v>AdjustedKPIs</v>
      </c>
      <c r="W2" s="3">
        <v>0</v>
      </c>
      <c r="X2" s="28"/>
      <c r="Y2" s="28"/>
      <c r="Z2" s="3" t="s">
        <v>493</v>
      </c>
      <c r="AA2" s="3" t="s">
        <v>494</v>
      </c>
      <c r="AB2" s="3" t="s">
        <v>495</v>
      </c>
      <c r="AG2" s="1"/>
      <c r="AK2" s="70" t="s">
        <v>493</v>
      </c>
      <c r="AL2" t="s">
        <v>0</v>
      </c>
      <c r="AM2" t="s">
        <v>27</v>
      </c>
      <c r="AN2" t="s">
        <v>506</v>
      </c>
      <c r="AO2" t="s">
        <v>77</v>
      </c>
      <c r="AP2" t="s">
        <v>505</v>
      </c>
      <c r="AR2" s="29" t="str" cm="1">
        <f t="array" ref="AR2:AW382">AK2:AP382</f>
        <v>Product Name</v>
      </c>
      <c r="AS2" s="3" t="str">
        <v>Total Revenue</v>
      </c>
      <c r="AT2" s="3" t="str">
        <v>Total Profit</v>
      </c>
      <c r="AU2" s="3" t="str">
        <v>Total Discount</v>
      </c>
      <c r="AV2" s="3" t="str">
        <v>#Number of Orders</v>
      </c>
      <c r="AW2" s="3" t="str">
        <v>Total Quantity Sold</v>
      </c>
      <c r="AY2" s="29" t="s">
        <v>493</v>
      </c>
      <c r="AZ2" s="3" t="s">
        <v>66</v>
      </c>
      <c r="BA2" s="3" t="s">
        <v>67</v>
      </c>
      <c r="BB2" s="3" t="s">
        <v>507</v>
      </c>
      <c r="BC2" s="3" t="s">
        <v>509</v>
      </c>
      <c r="BD2" s="3" t="s">
        <v>68</v>
      </c>
      <c r="BE2" s="3" t="s">
        <v>508</v>
      </c>
      <c r="BF2" s="3" t="s">
        <v>504</v>
      </c>
      <c r="BJ2" s="52" t="s">
        <v>54</v>
      </c>
      <c r="BK2" s="52" t="s">
        <v>515</v>
      </c>
      <c r="BL2" t="s">
        <v>27</v>
      </c>
    </row>
    <row r="3" spans="2:64" x14ac:dyDescent="0.35">
      <c r="B3" s="53" t="s">
        <v>530</v>
      </c>
      <c r="C3" s="58">
        <v>0.41760000000000003</v>
      </c>
      <c r="D3" s="30">
        <f>C3/MAX($C$3:$C$12)</f>
        <v>0.11193309745899004</v>
      </c>
      <c r="E3" s="31">
        <f>1-D3</f>
        <v>0.88806690254100995</v>
      </c>
      <c r="H3" s="53" t="s">
        <v>39</v>
      </c>
      <c r="I3" s="66">
        <v>421</v>
      </c>
      <c r="K3" s="26" t="s">
        <v>67</v>
      </c>
      <c r="Q3" t="s">
        <v>118</v>
      </c>
      <c r="R3" s="67">
        <v>21870.576000000001</v>
      </c>
      <c r="U3" s="3" t="str">
        <v>HON 5400 Series Task Chairs for Big and Tall</v>
      </c>
      <c r="V3" s="1">
        <v>21870.576000000001</v>
      </c>
      <c r="W3" s="3">
        <v>0</v>
      </c>
      <c r="Z3" s="1" t="str">
        <f>INDEX($U$3:$U$382,MATCH(AA3,$V$3:$V$382,0))</f>
        <v>HON 5400 Series Task Chairs for Big and Tall</v>
      </c>
      <c r="AA3" s="1">
        <f>V3</f>
        <v>21870.576000000001</v>
      </c>
      <c r="AB3" s="1" t="str">
        <f t="shared" ref="AB3:AB22" si="0">IF(Z3=$AE$26,$AE$27,"")</f>
        <v/>
      </c>
      <c r="AD3" s="27" t="s">
        <v>501</v>
      </c>
      <c r="AE3" s="1"/>
      <c r="AK3" t="s">
        <v>138</v>
      </c>
      <c r="AL3" s="67">
        <v>7539.7121999999999</v>
      </c>
      <c r="AM3" s="67">
        <v>1130.0434</v>
      </c>
      <c r="AN3" s="55">
        <v>1.47</v>
      </c>
      <c r="AO3" s="69">
        <v>8</v>
      </c>
      <c r="AP3" s="69">
        <v>35</v>
      </c>
      <c r="AR3" s="3" t="str">
        <v>Atlantic Metals Mobile 3-Shelf Bookcases, Custom Colors</v>
      </c>
      <c r="AS3" s="1">
        <v>7539.7121999999999</v>
      </c>
      <c r="AT3" s="3">
        <v>1130.0434</v>
      </c>
      <c r="AU3" s="16">
        <v>1.47</v>
      </c>
      <c r="AV3" s="3">
        <v>8</v>
      </c>
      <c r="AW3" s="3">
        <v>35</v>
      </c>
      <c r="AY3" s="3" t="s">
        <v>118</v>
      </c>
      <c r="AZ3" s="33" cm="1">
        <f t="array" ref="AZ3:BD3">_xlfn.XLOOKUP(AY3,$AR$3:$AR$382,$AS$3:$AW$382,0)</f>
        <v>21870.576000000001</v>
      </c>
      <c r="BA3" s="34">
        <v>1121.568</v>
      </c>
      <c r="BB3" s="16">
        <v>1.6000000000000003</v>
      </c>
      <c r="BC3" s="32">
        <v>8</v>
      </c>
      <c r="BD3" s="3">
        <v>39</v>
      </c>
      <c r="BE3" s="16">
        <f>BA3/SUM(AZ3:BA3)</f>
        <v>4.878048780487805E-2</v>
      </c>
      <c r="BF3" s="9">
        <f>100%-BE3</f>
        <v>0.95121951219512191</v>
      </c>
      <c r="BJ3" t="s">
        <v>39</v>
      </c>
      <c r="BK3"/>
      <c r="BL3" s="67"/>
    </row>
    <row r="4" spans="2:64" x14ac:dyDescent="0.35">
      <c r="B4" s="53" t="s">
        <v>525</v>
      </c>
      <c r="C4" s="58">
        <v>1.2527999999999999</v>
      </c>
      <c r="D4" s="30">
        <f t="shared" ref="D4:D12" si="1">C4/MAX($C$3:$C$12)</f>
        <v>0.33579929237697009</v>
      </c>
      <c r="E4" s="31">
        <f t="shared" ref="E4:E12" si="2">1-D4</f>
        <v>0.66420070762302985</v>
      </c>
      <c r="H4" s="53" t="s">
        <v>40</v>
      </c>
      <c r="I4" s="66">
        <v>452</v>
      </c>
      <c r="K4" s="26" t="s">
        <v>70</v>
      </c>
      <c r="N4" s="25"/>
      <c r="Q4" t="s">
        <v>120</v>
      </c>
      <c r="R4" s="67">
        <v>15610.9656</v>
      </c>
      <c r="U4" s="3" t="str">
        <v>Riverside Palais Royal Lawyers Bookcase, Royale Cherry Finish</v>
      </c>
      <c r="V4" s="1">
        <v>15610.9656</v>
      </c>
      <c r="W4" s="1">
        <v>0</v>
      </c>
      <c r="X4" s="1"/>
      <c r="Y4" s="1"/>
      <c r="Z4" s="1" t="str">
        <f t="shared" ref="Z4:Z22" si="3">INDEX($U$3:$U$382,MATCH(AA4,$V$3:$V$382,0))</f>
        <v>Riverside Palais Royal Lawyers Bookcase, Royale Cherry Finish</v>
      </c>
      <c r="AA4" s="1">
        <f t="shared" ref="AA4:AA22" si="4">V4</f>
        <v>15610.9656</v>
      </c>
      <c r="AB4" s="1" t="str">
        <f t="shared" si="0"/>
        <v/>
      </c>
      <c r="AE4" s="1"/>
      <c r="AG4" s="1"/>
      <c r="AK4" t="s">
        <v>146</v>
      </c>
      <c r="AL4" s="67">
        <v>1897.8101999999999</v>
      </c>
      <c r="AM4" s="67">
        <v>126.9873</v>
      </c>
      <c r="AN4" s="55">
        <v>2.52</v>
      </c>
      <c r="AO4" s="69">
        <v>8</v>
      </c>
      <c r="AP4" s="69">
        <v>31</v>
      </c>
      <c r="AR4" s="3" t="str">
        <v>Bestar Classic Bookcase</v>
      </c>
      <c r="AS4" s="1">
        <v>1897.8101999999999</v>
      </c>
      <c r="AT4" s="3">
        <v>126.9873</v>
      </c>
      <c r="AU4" s="16">
        <v>2.52</v>
      </c>
      <c r="AV4" s="3">
        <v>8</v>
      </c>
      <c r="AW4" s="3">
        <v>31</v>
      </c>
      <c r="AY4" s="3" t="s">
        <v>120</v>
      </c>
      <c r="AZ4" s="33" cm="1">
        <f t="array" ref="AZ4:BD4">_xlfn.XLOOKUP(AY4,AR4:AR383,AS4:AW383,0)</f>
        <v>15610.9656</v>
      </c>
      <c r="BA4" s="34">
        <v>1312.6602</v>
      </c>
      <c r="BB4" s="16">
        <v>1.17</v>
      </c>
      <c r="BC4" s="32">
        <v>5</v>
      </c>
      <c r="BD4" s="3">
        <v>24</v>
      </c>
      <c r="BE4" s="16">
        <f t="shared" ref="BE4:BE22" si="5">BA4/SUM(AZ4:BA4)</f>
        <v>7.7563768870380023E-2</v>
      </c>
      <c r="BF4" s="9">
        <f t="shared" ref="BF4:BF22" si="6">100%-BE4</f>
        <v>0.92243623112961992</v>
      </c>
      <c r="BJ4"/>
      <c r="BK4" t="s">
        <v>516</v>
      </c>
      <c r="BL4" s="67">
        <v>2238.0356999999999</v>
      </c>
    </row>
    <row r="5" spans="2:64" x14ac:dyDescent="0.35">
      <c r="B5" s="53" t="s">
        <v>531</v>
      </c>
      <c r="C5" s="58">
        <v>2.5531999999999999</v>
      </c>
      <c r="D5" s="30">
        <f t="shared" si="1"/>
        <v>0.68435724241449558</v>
      </c>
      <c r="E5" s="31">
        <f t="shared" si="2"/>
        <v>0.31564275758550442</v>
      </c>
      <c r="H5" s="53" t="s">
        <v>41</v>
      </c>
      <c r="I5" s="66">
        <v>562</v>
      </c>
      <c r="K5" s="35" t="s">
        <v>68</v>
      </c>
      <c r="Q5" t="s">
        <v>112</v>
      </c>
      <c r="R5" s="67">
        <v>12995.291499999999</v>
      </c>
      <c r="U5" s="3" t="str">
        <v>Bretford Rectangular Conference Table Tops</v>
      </c>
      <c r="V5" s="1">
        <v>12995.291499999999</v>
      </c>
      <c r="W5" s="1">
        <v>0</v>
      </c>
      <c r="X5" s="1"/>
      <c r="Y5" s="1"/>
      <c r="Z5" s="1" t="str">
        <f t="shared" si="3"/>
        <v>Bretford Rectangular Conference Table Tops</v>
      </c>
      <c r="AA5" s="1">
        <f t="shared" si="4"/>
        <v>12995.291499999999</v>
      </c>
      <c r="AB5" s="1" t="str">
        <f t="shared" si="0"/>
        <v/>
      </c>
      <c r="AD5" s="3" t="s">
        <v>502</v>
      </c>
      <c r="AE5" s="1"/>
      <c r="AG5" s="1"/>
      <c r="AK5" t="s">
        <v>181</v>
      </c>
      <c r="AL5" s="67">
        <v>4952.6729999999998</v>
      </c>
      <c r="AM5" s="67">
        <v>151.66079999999999</v>
      </c>
      <c r="AN5" s="55">
        <v>2.9</v>
      </c>
      <c r="AO5" s="69">
        <v>9</v>
      </c>
      <c r="AP5" s="69">
        <v>30</v>
      </c>
      <c r="AR5" s="3" t="str">
        <v>Chromcraft Rectangular Conference Tables</v>
      </c>
      <c r="AS5" s="1">
        <v>4952.6729999999998</v>
      </c>
      <c r="AT5" s="3">
        <v>151.66079999999999</v>
      </c>
      <c r="AU5" s="16">
        <v>2.9</v>
      </c>
      <c r="AV5" s="3">
        <v>9</v>
      </c>
      <c r="AW5" s="3">
        <v>30</v>
      </c>
      <c r="AY5" s="3" t="s">
        <v>112</v>
      </c>
      <c r="AZ5" s="33" cm="1">
        <f t="array" ref="AZ5:BD5">_xlfn.XLOOKUP(AY5,AR5:AR384,AS5:AW384,0)</f>
        <v>12995.291499999999</v>
      </c>
      <c r="BA5" s="34">
        <v>831.2473</v>
      </c>
      <c r="BB5" s="16">
        <v>2.9499999999999997</v>
      </c>
      <c r="BC5" s="32">
        <v>12</v>
      </c>
      <c r="BD5" s="3">
        <v>46</v>
      </c>
      <c r="BE5" s="16">
        <f t="shared" si="5"/>
        <v>6.0119695321001095E-2</v>
      </c>
      <c r="BF5" s="9">
        <f t="shared" si="6"/>
        <v>0.93988030467899886</v>
      </c>
      <c r="BJ5"/>
      <c r="BK5" t="s">
        <v>517</v>
      </c>
      <c r="BL5" s="67">
        <v>2787.2563</v>
      </c>
    </row>
    <row r="6" spans="2:64" x14ac:dyDescent="0.35">
      <c r="B6" s="53" t="s">
        <v>524</v>
      </c>
      <c r="C6" s="58">
        <v>2.6027999999999998</v>
      </c>
      <c r="D6" s="30">
        <f t="shared" si="1"/>
        <v>0.69765197812801538</v>
      </c>
      <c r="E6" s="31">
        <f t="shared" si="2"/>
        <v>0.30234802187198462</v>
      </c>
      <c r="H6" s="53" t="s">
        <v>42</v>
      </c>
      <c r="I6" s="66">
        <v>686</v>
      </c>
      <c r="Q6" t="s">
        <v>116</v>
      </c>
      <c r="R6" s="67">
        <v>12975.382</v>
      </c>
      <c r="U6" s="3" t="str">
        <v>Global Troy Executive Leather Low-Back Tilter</v>
      </c>
      <c r="V6" s="1">
        <v>12975.382</v>
      </c>
      <c r="W6" s="1">
        <v>0</v>
      </c>
      <c r="X6" s="1"/>
      <c r="Y6" s="1"/>
      <c r="Z6" s="1" t="str">
        <f t="shared" si="3"/>
        <v>Global Troy Executive Leather Low-Back Tilter</v>
      </c>
      <c r="AA6" s="1">
        <f t="shared" si="4"/>
        <v>12975.382</v>
      </c>
      <c r="AB6" s="1" t="str">
        <f t="shared" si="0"/>
        <v/>
      </c>
      <c r="AE6" s="1"/>
      <c r="AG6" s="1"/>
      <c r="AK6" t="s">
        <v>195</v>
      </c>
      <c r="AL6" s="67">
        <v>455.45600000000002</v>
      </c>
      <c r="AM6" s="67">
        <v>108.0384</v>
      </c>
      <c r="AN6" s="55">
        <v>1.8000000000000003</v>
      </c>
      <c r="AO6" s="69">
        <v>8</v>
      </c>
      <c r="AP6" s="69">
        <v>24</v>
      </c>
      <c r="AR6" s="3" t="str">
        <v>DAX Black Cherry Wood-Tone Poster Frame</v>
      </c>
      <c r="AS6" s="1">
        <v>455.45600000000002</v>
      </c>
      <c r="AT6" s="3">
        <v>108.0384</v>
      </c>
      <c r="AU6" s="16">
        <v>1.8000000000000003</v>
      </c>
      <c r="AV6" s="3">
        <v>8</v>
      </c>
      <c r="AW6" s="3">
        <v>24</v>
      </c>
      <c r="AY6" s="3" t="s">
        <v>116</v>
      </c>
      <c r="AZ6" s="33" cm="1">
        <f t="array" ref="AZ6:BD6">_xlfn.XLOOKUP(AY6,AR6:AR385,AS6:AW385,0)</f>
        <v>12975.382</v>
      </c>
      <c r="BA6" s="34">
        <v>1001.96</v>
      </c>
      <c r="BB6" s="16">
        <v>1.8</v>
      </c>
      <c r="BC6" s="32">
        <v>9</v>
      </c>
      <c r="BD6" s="3">
        <v>32</v>
      </c>
      <c r="BE6" s="16">
        <f t="shared" si="5"/>
        <v>7.1684587813620068E-2</v>
      </c>
      <c r="BF6" s="9">
        <f t="shared" si="6"/>
        <v>0.92831541218637992</v>
      </c>
      <c r="BJ6"/>
      <c r="BK6" t="s">
        <v>518</v>
      </c>
      <c r="BL6" s="67">
        <v>4917.3663999999999</v>
      </c>
    </row>
    <row r="7" spans="2:64" x14ac:dyDescent="0.35">
      <c r="B7" s="53" t="s">
        <v>532</v>
      </c>
      <c r="C7" s="58">
        <v>2.9371999999999998</v>
      </c>
      <c r="D7" s="30">
        <f t="shared" si="1"/>
        <v>0.78728422858368174</v>
      </c>
      <c r="E7" s="31">
        <f t="shared" si="2"/>
        <v>0.21271577141631826</v>
      </c>
      <c r="H7" s="53" t="s">
        <v>43</v>
      </c>
      <c r="I7" s="66">
        <v>2121</v>
      </c>
      <c r="Q7" t="s">
        <v>121</v>
      </c>
      <c r="R7" s="67">
        <v>11572.78</v>
      </c>
      <c r="U7" s="3" t="str">
        <v>SAFCO Arco Folding Chair</v>
      </c>
      <c r="V7" s="1">
        <v>11572.78</v>
      </c>
      <c r="W7" s="1">
        <v>0</v>
      </c>
      <c r="X7" s="1"/>
      <c r="Y7" s="1"/>
      <c r="Z7" s="1" t="str">
        <f t="shared" si="3"/>
        <v>SAFCO Arco Folding Chair</v>
      </c>
      <c r="AA7" s="1">
        <f t="shared" si="4"/>
        <v>11572.78</v>
      </c>
      <c r="AB7" s="1" t="str">
        <f t="shared" si="0"/>
        <v/>
      </c>
      <c r="AD7" s="3" t="s">
        <v>503</v>
      </c>
      <c r="AE7" s="1" t="s">
        <v>504</v>
      </c>
      <c r="AG7" s="1"/>
      <c r="AK7" t="s">
        <v>209</v>
      </c>
      <c r="AL7" s="67">
        <v>175.93799999999999</v>
      </c>
      <c r="AM7" s="67">
        <v>53.924500000000002</v>
      </c>
      <c r="AN7" s="55">
        <v>0.6</v>
      </c>
      <c r="AO7" s="69">
        <v>10</v>
      </c>
      <c r="AP7" s="69">
        <v>36</v>
      </c>
      <c r="AR7" s="3" t="str">
        <v>DAX Value U-Channel Document Frames, Easel Back</v>
      </c>
      <c r="AS7" s="1">
        <v>175.93799999999999</v>
      </c>
      <c r="AT7" s="3">
        <v>53.924500000000002</v>
      </c>
      <c r="AU7" s="16">
        <v>0.6</v>
      </c>
      <c r="AV7" s="3">
        <v>10</v>
      </c>
      <c r="AW7" s="3">
        <v>36</v>
      </c>
      <c r="AY7" s="3" t="s">
        <v>121</v>
      </c>
      <c r="AZ7" s="33" cm="1">
        <f t="array" ref="AZ7:BD7">_xlfn.XLOOKUP(AY7,AR7:AR386,AS7:AW386,0)</f>
        <v>11572.78</v>
      </c>
      <c r="BA7" s="34">
        <v>1223.566</v>
      </c>
      <c r="BB7" s="16">
        <v>2.5999999999999996</v>
      </c>
      <c r="BC7" s="32">
        <v>13</v>
      </c>
      <c r="BD7" s="3">
        <v>53</v>
      </c>
      <c r="BE7" s="16">
        <f t="shared" si="5"/>
        <v>9.5618389812216695E-2</v>
      </c>
      <c r="BF7" s="9">
        <f t="shared" si="6"/>
        <v>0.90438161018778329</v>
      </c>
      <c r="BJ7"/>
      <c r="BK7" t="s">
        <v>519</v>
      </c>
      <c r="BL7" s="67">
        <v>6081.8307999999997</v>
      </c>
    </row>
    <row r="8" spans="2:64" x14ac:dyDescent="0.35">
      <c r="B8" s="53" t="s">
        <v>523</v>
      </c>
      <c r="C8" s="58">
        <v>3.0337999999999998</v>
      </c>
      <c r="D8" s="30">
        <f t="shared" si="1"/>
        <v>0.81317679854186764</v>
      </c>
      <c r="E8" s="31">
        <f t="shared" si="2"/>
        <v>0.18682320145813236</v>
      </c>
      <c r="Q8" t="s">
        <v>115</v>
      </c>
      <c r="R8" s="67">
        <v>11046.609</v>
      </c>
      <c r="U8" s="3" t="str">
        <v>DMI Eclipse Executive Suite Bookcases</v>
      </c>
      <c r="V8" s="1">
        <v>11046.609</v>
      </c>
      <c r="W8" s="1">
        <v>0</v>
      </c>
      <c r="X8" s="1"/>
      <c r="Y8" s="1"/>
      <c r="Z8" s="1" t="str">
        <f t="shared" si="3"/>
        <v>DMI Eclipse Executive Suite Bookcases</v>
      </c>
      <c r="AA8" s="1">
        <f t="shared" si="4"/>
        <v>11046.609</v>
      </c>
      <c r="AB8" s="1" t="str">
        <f t="shared" si="0"/>
        <v/>
      </c>
      <c r="AD8" s="9">
        <f>SUM(AA3:AA12)/SUM(V3:V382)</f>
        <v>0.1687903984520143</v>
      </c>
      <c r="AE8" s="16">
        <f>100%-AD8</f>
        <v>0.83120960154798573</v>
      </c>
      <c r="AG8" s="1"/>
      <c r="AK8" t="s">
        <v>216</v>
      </c>
      <c r="AL8" s="67">
        <v>1579.3720000000001</v>
      </c>
      <c r="AM8" s="67">
        <v>318.36160000000001</v>
      </c>
      <c r="AN8" s="55">
        <v>0.2</v>
      </c>
      <c r="AO8" s="69">
        <v>7</v>
      </c>
      <c r="AP8" s="69">
        <v>26</v>
      </c>
      <c r="AR8" s="3" t="str">
        <v>Deflect-o Glass Clear Studded Chair Mats</v>
      </c>
      <c r="AS8" s="1">
        <v>1579.3720000000001</v>
      </c>
      <c r="AT8" s="3">
        <v>318.36160000000001</v>
      </c>
      <c r="AU8" s="16">
        <v>0.2</v>
      </c>
      <c r="AV8" s="3">
        <v>7</v>
      </c>
      <c r="AW8" s="3">
        <v>26</v>
      </c>
      <c r="AY8" s="3" t="s">
        <v>115</v>
      </c>
      <c r="AZ8" s="33" cm="1">
        <f t="array" ref="AZ8:BD8">_xlfn.XLOOKUP(AY8,AR8:AR387,AS8:AW387,0)</f>
        <v>11046.609</v>
      </c>
      <c r="BA8" s="34">
        <v>180.3528</v>
      </c>
      <c r="BB8" s="16">
        <v>1.1000000000000001</v>
      </c>
      <c r="BC8" s="32">
        <v>6</v>
      </c>
      <c r="BD8" s="3">
        <v>27</v>
      </c>
      <c r="BE8" s="16">
        <f t="shared" si="5"/>
        <v>1.6064257028112448E-2</v>
      </c>
      <c r="BF8" s="9">
        <f t="shared" si="6"/>
        <v>0.98393574297188757</v>
      </c>
      <c r="BJ8" t="s">
        <v>40</v>
      </c>
      <c r="BK8"/>
      <c r="BL8" s="67"/>
    </row>
    <row r="9" spans="2:64" x14ac:dyDescent="0.35">
      <c r="B9" s="53" t="s">
        <v>522</v>
      </c>
      <c r="C9" s="58">
        <v>3.3488000000000002</v>
      </c>
      <c r="D9" s="30">
        <f t="shared" si="1"/>
        <v>0.89760909188377835</v>
      </c>
      <c r="E9" s="31">
        <f t="shared" si="2"/>
        <v>0.10239090811622165</v>
      </c>
      <c r="J9" s="59" t="s">
        <v>93</v>
      </c>
      <c r="K9" s="59"/>
      <c r="Q9" t="s">
        <v>119</v>
      </c>
      <c r="R9" s="67">
        <v>10637.528</v>
      </c>
      <c r="U9" s="3" t="str">
        <v>Hon Deluxe Fabric Upholstered Stacking Chairs, Rounded Back</v>
      </c>
      <c r="V9" s="1">
        <v>10637.528</v>
      </c>
      <c r="W9" s="1">
        <v>0</v>
      </c>
      <c r="X9" s="1"/>
      <c r="Y9" s="1"/>
      <c r="Z9" s="1" t="str">
        <f t="shared" si="3"/>
        <v>Hon Deluxe Fabric Upholstered Stacking Chairs, Rounded Back</v>
      </c>
      <c r="AA9" s="1">
        <f t="shared" si="4"/>
        <v>10637.528</v>
      </c>
      <c r="AB9" s="1" t="str">
        <f t="shared" si="0"/>
        <v/>
      </c>
      <c r="AE9" s="1"/>
      <c r="AG9" s="1"/>
      <c r="AK9" t="s">
        <v>240</v>
      </c>
      <c r="AL9" s="67">
        <v>361.87200000000001</v>
      </c>
      <c r="AM9" s="67">
        <v>66.594499999999996</v>
      </c>
      <c r="AN9" s="55">
        <v>1.2000000000000002</v>
      </c>
      <c r="AO9" s="69">
        <v>5</v>
      </c>
      <c r="AP9" s="69">
        <v>17</v>
      </c>
      <c r="AR9" s="3" t="str">
        <v>Eldon Executive Woodline II Desk Accessories, Mahogany</v>
      </c>
      <c r="AS9" s="1">
        <v>361.87200000000001</v>
      </c>
      <c r="AT9" s="3">
        <v>66.594499999999996</v>
      </c>
      <c r="AU9" s="16">
        <v>1.2000000000000002</v>
      </c>
      <c r="AV9" s="3">
        <v>5</v>
      </c>
      <c r="AW9" s="3">
        <v>17</v>
      </c>
      <c r="AY9" s="3" t="s">
        <v>119</v>
      </c>
      <c r="AZ9" s="33" cm="1">
        <f t="array" ref="AZ9:BD9">_xlfn.XLOOKUP(AY9,AR9:AR388,AS9:AW388,0)</f>
        <v>10637.528</v>
      </c>
      <c r="BA9" s="34">
        <v>1927.442</v>
      </c>
      <c r="BB9" s="16">
        <v>1.7000000000000004</v>
      </c>
      <c r="BC9" s="32">
        <v>12</v>
      </c>
      <c r="BD9" s="3">
        <v>51</v>
      </c>
      <c r="BE9" s="16">
        <f t="shared" si="5"/>
        <v>0.15339805825242717</v>
      </c>
      <c r="BF9" s="9">
        <f t="shared" si="6"/>
        <v>0.84660194174757286</v>
      </c>
      <c r="BJ9"/>
      <c r="BK9" t="s">
        <v>516</v>
      </c>
      <c r="BL9" s="67">
        <v>2558.5299</v>
      </c>
    </row>
    <row r="10" spans="2:64" x14ac:dyDescent="0.35">
      <c r="B10" s="53" t="s">
        <v>521</v>
      </c>
      <c r="C10" s="58">
        <v>3.3534000000000002</v>
      </c>
      <c r="D10" s="30">
        <f t="shared" si="1"/>
        <v>0.89884207140559669</v>
      </c>
      <c r="E10" s="31">
        <f t="shared" si="2"/>
        <v>0.10115792859440331</v>
      </c>
      <c r="G10" s="59" t="s">
        <v>103</v>
      </c>
      <c r="H10" s="59"/>
      <c r="J10" s="52" t="s">
        <v>1</v>
      </c>
      <c r="K10" t="s">
        <v>93</v>
      </c>
      <c r="Q10" t="s">
        <v>114</v>
      </c>
      <c r="R10" s="67">
        <v>9917.64</v>
      </c>
      <c r="U10" s="3" t="str">
        <v>Chromcraft Bull-Nose Wood Oval Conference Tables &amp; Bases</v>
      </c>
      <c r="V10" s="1">
        <v>9917.64</v>
      </c>
      <c r="W10" s="1">
        <v>0</v>
      </c>
      <c r="X10" s="1"/>
      <c r="Y10" s="1"/>
      <c r="Z10" s="1" t="str">
        <f t="shared" si="3"/>
        <v>Chromcraft Bull-Nose Wood Oval Conference Tables &amp; Bases</v>
      </c>
      <c r="AA10" s="1">
        <f t="shared" si="4"/>
        <v>9917.64</v>
      </c>
      <c r="AB10" s="1" t="str">
        <f t="shared" si="0"/>
        <v/>
      </c>
      <c r="AE10" s="1"/>
      <c r="AG10" s="1"/>
      <c r="AK10" t="s">
        <v>248</v>
      </c>
      <c r="AL10" s="67">
        <v>183.024</v>
      </c>
      <c r="AM10" s="67">
        <v>39.851999999999997</v>
      </c>
      <c r="AN10" s="55">
        <v>2</v>
      </c>
      <c r="AO10" s="69">
        <v>12</v>
      </c>
      <c r="AP10" s="69">
        <v>33</v>
      </c>
      <c r="AR10" s="3" t="str">
        <v>Eldon Expressions Wood Desk Accessories, Oak</v>
      </c>
      <c r="AS10" s="1">
        <v>183.024</v>
      </c>
      <c r="AT10" s="3">
        <v>39.851999999999997</v>
      </c>
      <c r="AU10" s="16">
        <v>2</v>
      </c>
      <c r="AV10" s="3">
        <v>12</v>
      </c>
      <c r="AW10" s="3">
        <v>33</v>
      </c>
      <c r="AY10" s="3" t="s">
        <v>114</v>
      </c>
      <c r="AZ10" s="33" cm="1">
        <f t="array" ref="AZ10:BD10">_xlfn.XLOOKUP(AY10,AR10:AR389,AS10:AW389,0)</f>
        <v>9917.64</v>
      </c>
      <c r="BA10" s="34">
        <v>231.41159999999999</v>
      </c>
      <c r="BB10" s="16">
        <v>1.4</v>
      </c>
      <c r="BC10" s="32">
        <v>5</v>
      </c>
      <c r="BD10" s="3">
        <v>27</v>
      </c>
      <c r="BE10" s="16">
        <f t="shared" si="5"/>
        <v>2.2801302931596094E-2</v>
      </c>
      <c r="BF10" s="9">
        <f t="shared" si="6"/>
        <v>0.9771986970684039</v>
      </c>
      <c r="BJ10"/>
      <c r="BK10" t="s">
        <v>517</v>
      </c>
      <c r="BL10" s="67">
        <v>3262.6880000000001</v>
      </c>
    </row>
    <row r="11" spans="2:64" x14ac:dyDescent="0.35">
      <c r="B11" s="53" t="s">
        <v>533</v>
      </c>
      <c r="C11" s="58">
        <v>3.4196</v>
      </c>
      <c r="D11" s="30">
        <f t="shared" si="1"/>
        <v>0.91658625495872204</v>
      </c>
      <c r="E11" s="31">
        <f t="shared" si="2"/>
        <v>8.3413745041277965E-2</v>
      </c>
      <c r="G11" s="52" t="s">
        <v>1</v>
      </c>
      <c r="H11" t="s">
        <v>102</v>
      </c>
      <c r="J11" s="53">
        <v>2014</v>
      </c>
      <c r="K11" s="66"/>
      <c r="Q11" t="s">
        <v>113</v>
      </c>
      <c r="R11" s="67">
        <v>9544.7250000000004</v>
      </c>
      <c r="U11" s="3" t="str">
        <v>Bush Advantage Collection Racetrack Conference Table</v>
      </c>
      <c r="V11" s="1">
        <v>9544.7250000000004</v>
      </c>
      <c r="W11" s="1">
        <v>0</v>
      </c>
      <c r="X11" s="1"/>
      <c r="Y11" s="1"/>
      <c r="Z11" s="1" t="str">
        <f t="shared" si="3"/>
        <v>Bush Advantage Collection Racetrack Conference Table</v>
      </c>
      <c r="AA11" s="1">
        <f t="shared" si="4"/>
        <v>9544.7250000000004</v>
      </c>
      <c r="AB11" s="1" t="str">
        <f t="shared" si="0"/>
        <v/>
      </c>
      <c r="AE11" s="1"/>
      <c r="AG11" s="1"/>
      <c r="AK11" t="s">
        <v>278</v>
      </c>
      <c r="AL11" s="67">
        <v>62.82</v>
      </c>
      <c r="AM11" s="67">
        <v>24.569600000000001</v>
      </c>
      <c r="AN11" s="55">
        <v>0.8</v>
      </c>
      <c r="AO11" s="69">
        <v>5</v>
      </c>
      <c r="AP11" s="69">
        <v>11</v>
      </c>
      <c r="AR11" s="3" t="str">
        <v>G.E. Halogen Desk Lamp Bulbs</v>
      </c>
      <c r="AS11" s="1">
        <v>62.82</v>
      </c>
      <c r="AT11" s="3">
        <v>24.569600000000001</v>
      </c>
      <c r="AU11" s="16">
        <v>0.8</v>
      </c>
      <c r="AV11" s="3">
        <v>5</v>
      </c>
      <c r="AW11" s="3">
        <v>11</v>
      </c>
      <c r="AY11" s="3" t="s">
        <v>113</v>
      </c>
      <c r="AZ11" s="33" cm="1">
        <f t="array" ref="AZ11:BD11">_xlfn.XLOOKUP(AY11,AR11:AR390,AS11:AW390,0)</f>
        <v>9544.7250000000004</v>
      </c>
      <c r="BA11" s="34">
        <v>610.86239999999998</v>
      </c>
      <c r="BB11" s="16">
        <v>2.4499999999999997</v>
      </c>
      <c r="BC11" s="32">
        <v>7</v>
      </c>
      <c r="BD11" s="3">
        <v>33</v>
      </c>
      <c r="BE11" s="16">
        <f t="shared" si="5"/>
        <v>6.0150375939849621E-2</v>
      </c>
      <c r="BF11" s="9">
        <f t="shared" si="6"/>
        <v>0.93984962406015038</v>
      </c>
      <c r="BJ11"/>
      <c r="BK11" t="s">
        <v>518</v>
      </c>
      <c r="BL11" s="67">
        <v>5054.5983999999999</v>
      </c>
    </row>
    <row r="12" spans="2:64" x14ac:dyDescent="0.35">
      <c r="B12" s="53" t="s">
        <v>534</v>
      </c>
      <c r="C12" s="58">
        <v>3.7307999999999999</v>
      </c>
      <c r="D12" s="30">
        <f t="shared" si="1"/>
        <v>1</v>
      </c>
      <c r="E12" s="31">
        <f t="shared" si="2"/>
        <v>0</v>
      </c>
      <c r="G12" s="53" t="s">
        <v>39</v>
      </c>
      <c r="H12" s="66">
        <v>149</v>
      </c>
      <c r="J12" s="68" t="s">
        <v>28</v>
      </c>
      <c r="K12" s="66">
        <v>160</v>
      </c>
      <c r="Q12" t="s">
        <v>117</v>
      </c>
      <c r="R12" s="67">
        <v>9070.9439999999995</v>
      </c>
      <c r="U12" s="3" t="str">
        <v>GuestStacker Chair with Chrome Finish Legs</v>
      </c>
      <c r="V12" s="1">
        <v>9070.9439999999995</v>
      </c>
      <c r="W12" s="1">
        <v>0</v>
      </c>
      <c r="X12" s="1"/>
      <c r="Y12" s="1"/>
      <c r="Z12" s="1" t="str">
        <f t="shared" si="3"/>
        <v>GuestStacker Chair with Chrome Finish Legs</v>
      </c>
      <c r="AA12" s="1">
        <f t="shared" si="4"/>
        <v>9070.9439999999995</v>
      </c>
      <c r="AB12" s="1" t="str">
        <f t="shared" si="0"/>
        <v/>
      </c>
      <c r="AE12" s="1"/>
      <c r="AG12" s="1"/>
      <c r="AK12" t="s">
        <v>291</v>
      </c>
      <c r="AL12" s="67">
        <v>7979.44</v>
      </c>
      <c r="AM12" s="67">
        <v>1111.422</v>
      </c>
      <c r="AN12" s="55">
        <v>1.5000000000000002</v>
      </c>
      <c r="AO12" s="69">
        <v>9</v>
      </c>
      <c r="AP12" s="69">
        <v>33</v>
      </c>
      <c r="AR12" s="3" t="str">
        <v>Global Commerce Series High-Back Swivel/Tilt Chairs</v>
      </c>
      <c r="AS12" s="1">
        <v>7979.44</v>
      </c>
      <c r="AT12" s="3">
        <v>1111.422</v>
      </c>
      <c r="AU12" s="16">
        <v>1.5000000000000002</v>
      </c>
      <c r="AV12" s="3">
        <v>9</v>
      </c>
      <c r="AW12" s="3">
        <v>33</v>
      </c>
      <c r="AY12" s="3" t="s">
        <v>117</v>
      </c>
      <c r="AZ12" s="33" cm="1">
        <f t="array" ref="AZ12:BD12">_xlfn.XLOOKUP(AY12,AR12:AR391,AS12:AW391,0)</f>
        <v>9070.9439999999995</v>
      </c>
      <c r="BA12" s="34">
        <v>803.00160000000005</v>
      </c>
      <c r="BB12" s="16">
        <v>1.8</v>
      </c>
      <c r="BC12" s="32">
        <v>8</v>
      </c>
      <c r="BD12" s="3">
        <v>31</v>
      </c>
      <c r="BE12" s="16">
        <f t="shared" si="5"/>
        <v>8.1325301204819289E-2</v>
      </c>
      <c r="BF12" s="9">
        <f t="shared" si="6"/>
        <v>0.91867469879518071</v>
      </c>
      <c r="BJ12"/>
      <c r="BK12" t="s">
        <v>519</v>
      </c>
      <c r="BL12" s="67">
        <v>7898.1875</v>
      </c>
    </row>
    <row r="13" spans="2:64" x14ac:dyDescent="0.35">
      <c r="B13" s="53" t="s">
        <v>43</v>
      </c>
      <c r="C13" s="58">
        <v>26.65</v>
      </c>
      <c r="G13" s="53" t="s">
        <v>40</v>
      </c>
      <c r="H13" s="66">
        <v>153</v>
      </c>
      <c r="J13" s="68" t="s">
        <v>29</v>
      </c>
      <c r="K13" s="66">
        <v>85</v>
      </c>
      <c r="Q13" t="s">
        <v>413</v>
      </c>
      <c r="R13" s="67">
        <v>8774.5</v>
      </c>
      <c r="U13" s="3" t="str">
        <v>Office Star - Professional Matrix Back Chair with 2-to-1 Synchro Tilt and Mesh Fabric Seat</v>
      </c>
      <c r="V13" s="1">
        <v>8774.5</v>
      </c>
      <c r="W13" s="1">
        <v>0</v>
      </c>
      <c r="X13" s="1"/>
      <c r="Y13" s="1"/>
      <c r="Z13" s="1" t="str">
        <f t="shared" si="3"/>
        <v>Office Star - Professional Matrix Back Chair with 2-to-1 Synchro Tilt and Mesh Fabric Seat</v>
      </c>
      <c r="AA13" s="1">
        <f t="shared" si="4"/>
        <v>8774.5</v>
      </c>
      <c r="AB13" s="1" t="str">
        <f t="shared" si="0"/>
        <v/>
      </c>
      <c r="AF13" s="1"/>
      <c r="AG13" s="1"/>
      <c r="AI13" s="36"/>
      <c r="AK13" t="s">
        <v>302</v>
      </c>
      <c r="AL13" s="67">
        <v>3150.576</v>
      </c>
      <c r="AM13" s="67">
        <v>514.99800000000005</v>
      </c>
      <c r="AN13" s="55">
        <v>1.2</v>
      </c>
      <c r="AO13" s="69">
        <v>9</v>
      </c>
      <c r="AP13" s="69">
        <v>35</v>
      </c>
      <c r="AR13" s="3" t="str">
        <v>Global Fabric Manager's Chair, Dark Gray</v>
      </c>
      <c r="AS13" s="1">
        <v>3150.576</v>
      </c>
      <c r="AT13" s="3">
        <v>514.99800000000005</v>
      </c>
      <c r="AU13" s="16">
        <v>1.2</v>
      </c>
      <c r="AV13" s="3">
        <v>9</v>
      </c>
      <c r="AW13" s="3">
        <v>35</v>
      </c>
      <c r="AY13" s="3" t="s">
        <v>413</v>
      </c>
      <c r="AZ13" s="33" cm="1">
        <f t="array" ref="AZ13:BD13">_xlfn.XLOOKUP(AY13,AR13:AR392,AS13:AW392,0)</f>
        <v>8774.5</v>
      </c>
      <c r="BA13" s="34">
        <v>1305.6456000000001</v>
      </c>
      <c r="BB13" s="16">
        <v>0.8</v>
      </c>
      <c r="BC13" s="32">
        <v>8</v>
      </c>
      <c r="BD13" s="3">
        <v>28</v>
      </c>
      <c r="BE13" s="16">
        <f t="shared" si="5"/>
        <v>0.12952646239554319</v>
      </c>
      <c r="BF13" s="9">
        <f t="shared" si="6"/>
        <v>0.87047353760445678</v>
      </c>
      <c r="BJ13" t="s">
        <v>41</v>
      </c>
      <c r="BK13"/>
      <c r="BL13" s="67"/>
    </row>
    <row r="14" spans="2:64" x14ac:dyDescent="0.35">
      <c r="G14" s="53" t="s">
        <v>41</v>
      </c>
      <c r="H14" s="66">
        <v>178</v>
      </c>
      <c r="J14" s="68" t="s">
        <v>30</v>
      </c>
      <c r="K14" s="66">
        <v>45</v>
      </c>
      <c r="Q14" t="s">
        <v>293</v>
      </c>
      <c r="R14" s="67">
        <v>8665.1939999999995</v>
      </c>
      <c r="U14" s="3" t="str">
        <v>Global Deluxe High-Back Manager's Chair</v>
      </c>
      <c r="V14" s="1">
        <v>8665.1939999999995</v>
      </c>
      <c r="W14" s="1">
        <v>0</v>
      </c>
      <c r="X14" s="1"/>
      <c r="Y14" s="1"/>
      <c r="Z14" s="1" t="str">
        <f t="shared" si="3"/>
        <v>Global Deluxe High-Back Manager's Chair</v>
      </c>
      <c r="AA14" s="1">
        <f t="shared" si="4"/>
        <v>8665.1939999999995</v>
      </c>
      <c r="AB14" s="1" t="str">
        <f t="shared" si="0"/>
        <v/>
      </c>
      <c r="AE14" s="1"/>
      <c r="AF14" s="1"/>
      <c r="AG14" s="1"/>
      <c r="AI14" s="36"/>
      <c r="AK14" t="s">
        <v>305</v>
      </c>
      <c r="AL14" s="67">
        <v>5436.1580000000004</v>
      </c>
      <c r="AM14" s="67">
        <v>191.86439999999999</v>
      </c>
      <c r="AN14" s="55">
        <v>2.6</v>
      </c>
      <c r="AO14" s="69">
        <v>14</v>
      </c>
      <c r="AP14" s="69">
        <v>54</v>
      </c>
      <c r="AR14" s="3" t="str">
        <v>Global High-Back Leather Tilter, Burgundy</v>
      </c>
      <c r="AS14" s="1">
        <v>5436.1580000000004</v>
      </c>
      <c r="AT14" s="3">
        <v>191.86439999999999</v>
      </c>
      <c r="AU14" s="16">
        <v>2.6</v>
      </c>
      <c r="AV14" s="3">
        <v>14</v>
      </c>
      <c r="AW14" s="3">
        <v>54</v>
      </c>
      <c r="AY14" s="3" t="s">
        <v>293</v>
      </c>
      <c r="AZ14" s="33" cm="1">
        <f t="array" ref="AZ14:BD14">_xlfn.XLOOKUP(AY14,AR14:AR393,AS14:AW393,0)</f>
        <v>8665.1939999999995</v>
      </c>
      <c r="BA14" s="34">
        <v>1584.3291999999999</v>
      </c>
      <c r="BB14" s="16">
        <v>1.5000000000000002</v>
      </c>
      <c r="BC14" s="32">
        <v>8</v>
      </c>
      <c r="BD14" s="3">
        <v>35</v>
      </c>
      <c r="BE14" s="16">
        <f t="shared" si="5"/>
        <v>0.15457589285714285</v>
      </c>
      <c r="BF14" s="9">
        <f t="shared" si="6"/>
        <v>0.84542410714285721</v>
      </c>
      <c r="BJ14"/>
      <c r="BK14" t="s">
        <v>516</v>
      </c>
      <c r="BL14" s="67">
        <v>2701.7734</v>
      </c>
    </row>
    <row r="15" spans="2:64" x14ac:dyDescent="0.35">
      <c r="G15" s="53" t="s">
        <v>42</v>
      </c>
      <c r="H15" s="66">
        <v>196</v>
      </c>
      <c r="J15" s="53">
        <v>2015</v>
      </c>
      <c r="K15" s="66"/>
      <c r="Q15" t="s">
        <v>331</v>
      </c>
      <c r="R15" s="67">
        <v>8430.9969999999994</v>
      </c>
      <c r="U15" s="3" t="str">
        <v>Hon 4070 Series Pagoda Armless Upholstered Stacking Chairs</v>
      </c>
      <c r="V15" s="1">
        <v>8430.9969999999994</v>
      </c>
      <c r="W15" s="1">
        <v>0</v>
      </c>
      <c r="X15" s="1"/>
      <c r="Y15" s="1"/>
      <c r="Z15" s="1" t="str">
        <f t="shared" si="3"/>
        <v>Hon 4070 Series Pagoda Armless Upholstered Stacking Chairs</v>
      </c>
      <c r="AA15" s="1">
        <f t="shared" si="4"/>
        <v>8430.9969999999994</v>
      </c>
      <c r="AB15" s="1" t="str">
        <f t="shared" si="0"/>
        <v/>
      </c>
      <c r="AE15" s="1"/>
      <c r="AF15" s="1"/>
      <c r="AG15" s="1"/>
      <c r="AK15" t="s">
        <v>310</v>
      </c>
      <c r="AL15" s="67">
        <v>5989.2039999999997</v>
      </c>
      <c r="AM15" s="67">
        <v>381.86200000000002</v>
      </c>
      <c r="AN15" s="55">
        <v>2.5</v>
      </c>
      <c r="AO15" s="69">
        <v>11</v>
      </c>
      <c r="AP15" s="69">
        <v>39</v>
      </c>
      <c r="AR15" s="3" t="str">
        <v>Global Leather Highback Executive Chair with Pneumatic Height Adjustment, Black</v>
      </c>
      <c r="AS15" s="1">
        <v>5989.2039999999997</v>
      </c>
      <c r="AT15" s="3">
        <v>381.86200000000002</v>
      </c>
      <c r="AU15" s="16">
        <v>2.5</v>
      </c>
      <c r="AV15" s="3">
        <v>11</v>
      </c>
      <c r="AW15" s="3">
        <v>39</v>
      </c>
      <c r="AY15" s="3" t="s">
        <v>331</v>
      </c>
      <c r="AZ15" s="33" cm="1">
        <f t="array" ref="AZ15:BD15">_xlfn.XLOOKUP(AY15,AR15:AR394,AS15:AW394,0)</f>
        <v>8430.9969999999994</v>
      </c>
      <c r="BA15" s="34">
        <v>1400.3040000000001</v>
      </c>
      <c r="BB15" s="16">
        <v>1.5000000000000002</v>
      </c>
      <c r="BC15" s="32">
        <v>8</v>
      </c>
      <c r="BD15" s="3">
        <v>34</v>
      </c>
      <c r="BE15" s="16">
        <f t="shared" si="5"/>
        <v>0.14243323442136499</v>
      </c>
      <c r="BF15" s="9">
        <f t="shared" si="6"/>
        <v>0.85756676557863498</v>
      </c>
      <c r="BJ15"/>
      <c r="BK15" t="s">
        <v>517</v>
      </c>
      <c r="BL15" s="67">
        <v>5095.3212000000003</v>
      </c>
    </row>
    <row r="16" spans="2:64" x14ac:dyDescent="0.35">
      <c r="B16" s="59" t="s">
        <v>76</v>
      </c>
      <c r="C16" s="60"/>
      <c r="D16" s="60"/>
      <c r="E16" s="60"/>
      <c r="G16" s="53" t="s">
        <v>43</v>
      </c>
      <c r="H16" s="66">
        <v>371</v>
      </c>
      <c r="J16" s="68" t="s">
        <v>28</v>
      </c>
      <c r="K16" s="66">
        <v>150</v>
      </c>
      <c r="Q16" t="s">
        <v>182</v>
      </c>
      <c r="R16" s="67">
        <v>8209.0589999999993</v>
      </c>
      <c r="U16" s="3" t="str">
        <v>Chromcraft Round Conference Tables</v>
      </c>
      <c r="V16" s="1">
        <v>8209.0589999999993</v>
      </c>
      <c r="W16" s="1">
        <v>0</v>
      </c>
      <c r="X16" s="1"/>
      <c r="Y16" s="1"/>
      <c r="Z16" s="1" t="str">
        <f t="shared" si="3"/>
        <v>Chromcraft Round Conference Tables</v>
      </c>
      <c r="AA16" s="1">
        <f t="shared" si="4"/>
        <v>8209.0589999999993</v>
      </c>
      <c r="AB16" s="1" t="str">
        <f t="shared" si="0"/>
        <v/>
      </c>
      <c r="AE16" s="1"/>
      <c r="AF16" s="1"/>
      <c r="AG16" s="1"/>
      <c r="AK16" t="s">
        <v>342</v>
      </c>
      <c r="AL16" s="67">
        <v>6748.482</v>
      </c>
      <c r="AM16" s="67">
        <v>545.14200000000005</v>
      </c>
      <c r="AN16" s="55">
        <v>1.6000000000000003</v>
      </c>
      <c r="AO16" s="69">
        <v>10</v>
      </c>
      <c r="AP16" s="69">
        <v>43</v>
      </c>
      <c r="AR16" s="3" t="str">
        <v>Hon Every-Day Series Multi-Task Chairs</v>
      </c>
      <c r="AS16" s="1">
        <v>6748.482</v>
      </c>
      <c r="AT16" s="3">
        <v>545.14200000000005</v>
      </c>
      <c r="AU16" s="16">
        <v>1.6000000000000003</v>
      </c>
      <c r="AV16" s="3">
        <v>10</v>
      </c>
      <c r="AW16" s="3">
        <v>43</v>
      </c>
      <c r="AY16" s="3" t="s">
        <v>182</v>
      </c>
      <c r="AZ16" s="33" cm="1">
        <f t="array" ref="AZ16:BD16">_xlfn.XLOOKUP(AY16,AR16:AR395,AS16:AW395,0)</f>
        <v>8209.0589999999993</v>
      </c>
      <c r="BA16" s="34">
        <v>517.6413</v>
      </c>
      <c r="BB16" s="16">
        <v>3.3499999999999996</v>
      </c>
      <c r="BC16" s="32">
        <v>13</v>
      </c>
      <c r="BD16" s="3">
        <v>61</v>
      </c>
      <c r="BE16" s="16">
        <f t="shared" si="5"/>
        <v>5.9316956261234281E-2</v>
      </c>
      <c r="BF16" s="9">
        <f t="shared" si="6"/>
        <v>0.94068304373876577</v>
      </c>
      <c r="BJ16"/>
      <c r="BK16" t="s">
        <v>518</v>
      </c>
      <c r="BL16" s="67">
        <v>5220.7467999999999</v>
      </c>
    </row>
    <row r="17" spans="2:64" x14ac:dyDescent="0.35">
      <c r="B17" s="52" t="s">
        <v>1</v>
      </c>
      <c r="C17" t="s">
        <v>69</v>
      </c>
      <c r="J17" s="68" t="s">
        <v>29</v>
      </c>
      <c r="K17" s="66">
        <v>86</v>
      </c>
      <c r="Q17" t="s">
        <v>291</v>
      </c>
      <c r="R17" s="67">
        <v>7979.44</v>
      </c>
      <c r="U17" s="3" t="str">
        <v>Global Commerce Series High-Back Swivel/Tilt Chairs</v>
      </c>
      <c r="V17" s="1">
        <v>7979.44</v>
      </c>
      <c r="W17" s="1">
        <v>0</v>
      </c>
      <c r="X17" s="1"/>
      <c r="Y17" s="1"/>
      <c r="Z17" s="1" t="str">
        <f t="shared" si="3"/>
        <v>Global Commerce Series High-Back Swivel/Tilt Chairs</v>
      </c>
      <c r="AA17" s="1">
        <f t="shared" si="4"/>
        <v>7979.44</v>
      </c>
      <c r="AB17" s="1" t="str">
        <f t="shared" si="0"/>
        <v/>
      </c>
      <c r="AE17" s="1"/>
      <c r="AF17" s="1"/>
      <c r="AG17" s="1"/>
      <c r="AK17" t="s">
        <v>371</v>
      </c>
      <c r="AL17" s="67">
        <v>4552.6409999999996</v>
      </c>
      <c r="AM17" s="67">
        <v>462.57240000000002</v>
      </c>
      <c r="AN17" s="55">
        <v>4.25</v>
      </c>
      <c r="AO17" s="69">
        <v>18</v>
      </c>
      <c r="AP17" s="69">
        <v>74</v>
      </c>
      <c r="AR17" s="3" t="str">
        <v>KI Adjustable-Height Table</v>
      </c>
      <c r="AS17" s="1">
        <v>4552.6409999999996</v>
      </c>
      <c r="AT17" s="3">
        <v>462.57240000000002</v>
      </c>
      <c r="AU17" s="16">
        <v>4.25</v>
      </c>
      <c r="AV17" s="3">
        <v>18</v>
      </c>
      <c r="AW17" s="3">
        <v>74</v>
      </c>
      <c r="AY17" s="3" t="s">
        <v>291</v>
      </c>
      <c r="AZ17" s="33" cm="1">
        <f t="array" ref="AZ17">_xlfn.XLOOKUP(AY17,AR17:AR396,AS17:AW396,0)</f>
        <v>0</v>
      </c>
      <c r="BA17" s="34"/>
      <c r="BB17" s="16"/>
      <c r="BC17" s="32"/>
      <c r="BE17" s="16" t="e">
        <f t="shared" si="5"/>
        <v>#DIV/0!</v>
      </c>
      <c r="BF17" s="9" t="e">
        <f t="shared" si="6"/>
        <v>#DIV/0!</v>
      </c>
      <c r="BJ17"/>
      <c r="BK17" t="s">
        <v>519</v>
      </c>
      <c r="BL17" s="67">
        <v>9260.6561999999994</v>
      </c>
    </row>
    <row r="18" spans="2:64" x14ac:dyDescent="0.35">
      <c r="B18" s="53" t="s">
        <v>72</v>
      </c>
      <c r="C18" s="58">
        <v>9272.7140999999992</v>
      </c>
      <c r="D18" s="30">
        <f>C18/MAX($C$18:$C$27)</f>
        <v>1</v>
      </c>
      <c r="E18" s="31">
        <f>1-D18</f>
        <v>0</v>
      </c>
      <c r="J18" s="68" t="s">
        <v>30</v>
      </c>
      <c r="K18" s="66">
        <v>53</v>
      </c>
      <c r="Q18" t="s">
        <v>333</v>
      </c>
      <c r="R18" s="67">
        <v>7582.3739999999998</v>
      </c>
      <c r="U18" s="3" t="str">
        <v>Hon 4700 Series Mobuis Mid-Back Task Chairs with Adjustable Arms</v>
      </c>
      <c r="V18" s="1">
        <v>7582.3739999999998</v>
      </c>
      <c r="W18" s="1">
        <v>0</v>
      </c>
      <c r="X18" s="1"/>
      <c r="Y18" s="1"/>
      <c r="Z18" s="1" t="str">
        <f t="shared" si="3"/>
        <v>Hon 4700 Series Mobuis Mid-Back Task Chairs with Adjustable Arms</v>
      </c>
      <c r="AA18" s="1">
        <f t="shared" si="4"/>
        <v>7582.3739999999998</v>
      </c>
      <c r="AB18" s="1" t="str">
        <f t="shared" si="0"/>
        <v/>
      </c>
      <c r="AE18" s="1"/>
      <c r="AF18" s="1"/>
      <c r="AG18" s="1"/>
      <c r="AK18" t="s">
        <v>412</v>
      </c>
      <c r="AL18" s="67">
        <v>4185.4799999999996</v>
      </c>
      <c r="AM18" s="67">
        <v>399.23039999999997</v>
      </c>
      <c r="AN18" s="55">
        <v>0.8</v>
      </c>
      <c r="AO18" s="69">
        <v>5</v>
      </c>
      <c r="AP18" s="69">
        <v>31</v>
      </c>
      <c r="AR18" s="3" t="str">
        <v>Office Star - Mid Back Dual function Ergonomic High Back Chair with 2-Way Adjustable Arms</v>
      </c>
      <c r="AS18" s="1">
        <v>4185.4799999999996</v>
      </c>
      <c r="AT18" s="3">
        <v>399.23039999999997</v>
      </c>
      <c r="AU18" s="16">
        <v>0.8</v>
      </c>
      <c r="AV18" s="3">
        <v>5</v>
      </c>
      <c r="AW18" s="3">
        <v>31</v>
      </c>
      <c r="AY18" s="3" t="s">
        <v>333</v>
      </c>
      <c r="AZ18" s="33" cm="1">
        <f t="array" ref="AZ18:BD18">_xlfn.XLOOKUP(AY18,AR18:AR397,AS18:AW397,0)</f>
        <v>7582.3739999999998</v>
      </c>
      <c r="BA18" s="34">
        <v>929.1078</v>
      </c>
      <c r="BB18" s="16">
        <v>0.79999999999999993</v>
      </c>
      <c r="BC18" s="32">
        <v>6</v>
      </c>
      <c r="BD18" s="3">
        <v>24</v>
      </c>
      <c r="BE18" s="16">
        <f t="shared" si="5"/>
        <v>0.10915934755332497</v>
      </c>
      <c r="BF18" s="9">
        <f t="shared" si="6"/>
        <v>0.89084065244667499</v>
      </c>
      <c r="BJ18" t="s">
        <v>42</v>
      </c>
      <c r="BK18"/>
      <c r="BL18" s="67"/>
    </row>
    <row r="19" spans="2:64" x14ac:dyDescent="0.35">
      <c r="B19" s="53" t="s">
        <v>74</v>
      </c>
      <c r="C19" s="58">
        <v>6500.3373000000001</v>
      </c>
      <c r="D19" s="30">
        <f t="shared" ref="D19:D27" si="7">C19/MAX($C$18:$C$27)</f>
        <v>0.70101776350464651</v>
      </c>
      <c r="E19" s="31">
        <f t="shared" ref="E19:E27" si="8">1-D19</f>
        <v>0.29898223649535349</v>
      </c>
      <c r="J19" s="53">
        <v>2016</v>
      </c>
      <c r="K19" s="66"/>
      <c r="Q19" t="s">
        <v>138</v>
      </c>
      <c r="R19" s="67">
        <v>7539.7121999999999</v>
      </c>
      <c r="U19" s="3" t="str">
        <v>Atlantic Metals Mobile 3-Shelf Bookcases, Custom Colors</v>
      </c>
      <c r="V19" s="1">
        <v>7539.7121999999999</v>
      </c>
      <c r="W19" s="1">
        <v>0</v>
      </c>
      <c r="X19" s="1"/>
      <c r="Y19" s="1"/>
      <c r="Z19" s="1" t="str">
        <f t="shared" si="3"/>
        <v>Atlantic Metals Mobile 3-Shelf Bookcases, Custom Colors</v>
      </c>
      <c r="AA19" s="1">
        <f t="shared" si="4"/>
        <v>7539.7121999999999</v>
      </c>
      <c r="AB19" s="1" t="str">
        <f t="shared" si="0"/>
        <v/>
      </c>
      <c r="AE19" s="1"/>
      <c r="AF19" s="1"/>
      <c r="AG19" s="1"/>
      <c r="AK19" t="s">
        <v>431</v>
      </c>
      <c r="AL19" s="67">
        <v>1830.1479999999999</v>
      </c>
      <c r="AM19" s="67">
        <v>110.1328</v>
      </c>
      <c r="AN19" s="55">
        <v>1.8000000000000003</v>
      </c>
      <c r="AO19" s="69">
        <v>8</v>
      </c>
      <c r="AP19" s="69">
        <v>30</v>
      </c>
      <c r="AR19" s="3" t="str">
        <v>Padded Folding Chairs, Black, 4/Carton</v>
      </c>
      <c r="AS19" s="1">
        <v>1830.1479999999999</v>
      </c>
      <c r="AT19" s="3">
        <v>110.1328</v>
      </c>
      <c r="AU19" s="16">
        <v>1.8000000000000003</v>
      </c>
      <c r="AV19" s="3">
        <v>8</v>
      </c>
      <c r="AW19" s="3">
        <v>30</v>
      </c>
      <c r="AY19" s="3" t="s">
        <v>138</v>
      </c>
      <c r="AZ19" s="33" cm="1">
        <f t="array" ref="AZ19">_xlfn.XLOOKUP(AY19,AR19:AR398,AS19:AW398,0)</f>
        <v>0</v>
      </c>
      <c r="BA19" s="34"/>
      <c r="BB19" s="16"/>
      <c r="BC19" s="32"/>
      <c r="BE19" s="16" t="e">
        <f t="shared" si="5"/>
        <v>#DIV/0!</v>
      </c>
      <c r="BF19" s="9" t="e">
        <f t="shared" si="6"/>
        <v>#DIV/0!</v>
      </c>
      <c r="BJ19"/>
      <c r="BK19" t="s">
        <v>516</v>
      </c>
      <c r="BL19" s="67">
        <v>2554.9517999999998</v>
      </c>
    </row>
    <row r="20" spans="2:64" x14ac:dyDescent="0.35">
      <c r="B20" s="53" t="s">
        <v>71</v>
      </c>
      <c r="C20" s="58">
        <v>4142.0790999999999</v>
      </c>
      <c r="D20" s="30">
        <f t="shared" si="7"/>
        <v>0.44669543947224688</v>
      </c>
      <c r="E20" s="31">
        <f t="shared" si="8"/>
        <v>0.55330456052775312</v>
      </c>
      <c r="J20" s="68" t="s">
        <v>28</v>
      </c>
      <c r="K20" s="66">
        <v>180</v>
      </c>
      <c r="Q20" t="s">
        <v>337</v>
      </c>
      <c r="R20" s="67">
        <v>7404.5</v>
      </c>
      <c r="U20" s="3" t="str">
        <v>Hon 94000 Series Round Tables</v>
      </c>
      <c r="V20" s="1">
        <v>7404.5</v>
      </c>
      <c r="W20" s="1">
        <v>0</v>
      </c>
      <c r="X20" s="1"/>
      <c r="Y20" s="1"/>
      <c r="Z20" s="1" t="str">
        <f t="shared" si="3"/>
        <v>Hon 94000 Series Round Tables</v>
      </c>
      <c r="AA20" s="1">
        <f t="shared" si="4"/>
        <v>7404.5</v>
      </c>
      <c r="AB20" s="1" t="str">
        <f t="shared" si="0"/>
        <v/>
      </c>
      <c r="AE20" s="1"/>
      <c r="AF20" s="1"/>
      <c r="AG20" s="1"/>
      <c r="AK20" t="s">
        <v>463</v>
      </c>
      <c r="AL20" s="67">
        <v>3641.2739999999999</v>
      </c>
      <c r="AM20" s="67">
        <v>330.05700000000002</v>
      </c>
      <c r="AN20" s="55">
        <v>2.6999999999999997</v>
      </c>
      <c r="AO20" s="69">
        <v>15</v>
      </c>
      <c r="AP20" s="69">
        <v>64</v>
      </c>
      <c r="AR20" s="3" t="str">
        <v>Situations Contoured Folding Chairs, 4/Set</v>
      </c>
      <c r="AS20" s="1">
        <v>3641.2739999999999</v>
      </c>
      <c r="AT20" s="3">
        <v>330.05700000000002</v>
      </c>
      <c r="AU20" s="16">
        <v>2.6999999999999997</v>
      </c>
      <c r="AV20" s="3">
        <v>15</v>
      </c>
      <c r="AW20" s="3">
        <v>64</v>
      </c>
      <c r="AY20" s="3" t="s">
        <v>337</v>
      </c>
      <c r="AZ20" s="33" cm="1">
        <f t="array" ref="AZ20:BD20">_xlfn.XLOOKUP(AY20,AR20:AR399,AS20:AW399,0)</f>
        <v>7404.5</v>
      </c>
      <c r="BA20" s="34">
        <v>346.53059999999999</v>
      </c>
      <c r="BB20" s="16">
        <v>0.8</v>
      </c>
      <c r="BC20" s="32">
        <v>5</v>
      </c>
      <c r="BD20" s="3">
        <v>30</v>
      </c>
      <c r="BE20" s="16">
        <f t="shared" si="5"/>
        <v>4.4707680550248374E-2</v>
      </c>
      <c r="BF20" s="9">
        <f t="shared" si="6"/>
        <v>0.95529231944975157</v>
      </c>
      <c r="BJ20"/>
      <c r="BK20" t="s">
        <v>517</v>
      </c>
      <c r="BL20" s="67">
        <v>4646.5896000000002</v>
      </c>
    </row>
    <row r="21" spans="2:64" x14ac:dyDescent="0.35">
      <c r="B21" s="53" t="s">
        <v>492</v>
      </c>
      <c r="C21" s="58">
        <v>3332.6747999999998</v>
      </c>
      <c r="D21" s="30">
        <f t="shared" si="7"/>
        <v>0.35940661645116395</v>
      </c>
      <c r="E21" s="31">
        <f t="shared" si="8"/>
        <v>0.64059338354883599</v>
      </c>
      <c r="J21" s="68" t="s">
        <v>29</v>
      </c>
      <c r="K21" s="66">
        <v>112</v>
      </c>
      <c r="Q21" t="s">
        <v>160</v>
      </c>
      <c r="R21" s="67">
        <v>7242.768</v>
      </c>
      <c r="U21" s="3" t="str">
        <v>Bretford CR4500 Series Slim Rectangular Table</v>
      </c>
      <c r="V21" s="1">
        <v>7242.768</v>
      </c>
      <c r="W21" s="1">
        <v>0</v>
      </c>
      <c r="X21" s="1"/>
      <c r="Y21" s="1"/>
      <c r="Z21" s="1" t="str">
        <f t="shared" si="3"/>
        <v>Bretford CR4500 Series Slim Rectangular Table</v>
      </c>
      <c r="AA21" s="1">
        <f>V21</f>
        <v>7242.768</v>
      </c>
      <c r="AB21" s="1" t="str">
        <f t="shared" si="0"/>
        <v/>
      </c>
      <c r="AE21" s="1"/>
      <c r="AF21" s="1"/>
      <c r="AG21" s="1"/>
      <c r="AK21" t="s">
        <v>471</v>
      </c>
      <c r="AL21" s="67">
        <v>3317.0120000000002</v>
      </c>
      <c r="AM21" s="67">
        <v>119.68600000000001</v>
      </c>
      <c r="AN21" s="55">
        <v>1.4</v>
      </c>
      <c r="AO21" s="69">
        <v>6</v>
      </c>
      <c r="AP21" s="69">
        <v>25</v>
      </c>
      <c r="AR21" s="3" t="str">
        <v>Tenex Antistatic Computer Chair Mats</v>
      </c>
      <c r="AS21" s="1">
        <v>3317.0120000000002</v>
      </c>
      <c r="AT21" s="3">
        <v>119.68600000000001</v>
      </c>
      <c r="AU21" s="16">
        <v>1.4</v>
      </c>
      <c r="AV21" s="3">
        <v>6</v>
      </c>
      <c r="AW21" s="3">
        <v>25</v>
      </c>
      <c r="AY21" s="3" t="s">
        <v>160</v>
      </c>
      <c r="AZ21" s="33" cm="1">
        <f t="array" ref="AZ21:BD21">_xlfn.XLOOKUP(AY21,AR21:AR400,AS21:AW400,0)</f>
        <v>7242.768</v>
      </c>
      <c r="BA21" s="34">
        <v>442.22669999999999</v>
      </c>
      <c r="BB21" s="16">
        <v>2.1</v>
      </c>
      <c r="BC21" s="32">
        <v>8</v>
      </c>
      <c r="BD21" s="3">
        <v>29</v>
      </c>
      <c r="BE21" s="16">
        <f t="shared" si="5"/>
        <v>5.7544177616674214E-2</v>
      </c>
      <c r="BF21" s="9">
        <f t="shared" si="6"/>
        <v>0.94245582238332581</v>
      </c>
      <c r="BJ21"/>
      <c r="BK21" t="s">
        <v>518</v>
      </c>
      <c r="BL21" s="67">
        <v>6607.5865999999996</v>
      </c>
    </row>
    <row r="22" spans="2:64" x14ac:dyDescent="0.35">
      <c r="B22" s="53" t="s">
        <v>73</v>
      </c>
      <c r="C22" s="58">
        <v>2678.5136000000002</v>
      </c>
      <c r="D22" s="30">
        <f t="shared" si="7"/>
        <v>0.28885972015464173</v>
      </c>
      <c r="E22" s="31">
        <f t="shared" si="8"/>
        <v>0.71114027984535833</v>
      </c>
      <c r="J22" s="68" t="s">
        <v>30</v>
      </c>
      <c r="K22" s="66">
        <v>63</v>
      </c>
      <c r="Q22" t="s">
        <v>150</v>
      </c>
      <c r="R22" s="67">
        <v>6942.0680000000002</v>
      </c>
      <c r="U22" s="3" t="str">
        <v>Bevis Oval Conference Table, Walnut</v>
      </c>
      <c r="V22" s="1">
        <v>6942.0680000000002</v>
      </c>
      <c r="W22" s="1">
        <v>0</v>
      </c>
      <c r="X22" s="1"/>
      <c r="Y22" s="1"/>
      <c r="Z22" s="1" t="str">
        <f t="shared" si="3"/>
        <v>Bevis Oval Conference Table, Walnut</v>
      </c>
      <c r="AA22" s="1">
        <f t="shared" si="4"/>
        <v>6942.0680000000002</v>
      </c>
      <c r="AB22" s="1">
        <f t="shared" si="0"/>
        <v>6942.0680000000002</v>
      </c>
      <c r="AE22" s="1"/>
      <c r="AF22" s="1"/>
      <c r="AG22" s="1"/>
      <c r="AK22" t="s">
        <v>124</v>
      </c>
      <c r="AL22" s="67">
        <v>369.24799999999999</v>
      </c>
      <c r="AM22" s="67">
        <v>20.560400000000001</v>
      </c>
      <c r="AN22" s="55">
        <v>1.4</v>
      </c>
      <c r="AO22" s="69">
        <v>6</v>
      </c>
      <c r="AP22" s="69">
        <v>21</v>
      </c>
      <c r="AR22" s="3" t="str">
        <v>36X48 HARDFLOOR CHAIRMAT</v>
      </c>
      <c r="AS22" s="1">
        <v>369.24799999999999</v>
      </c>
      <c r="AT22" s="3">
        <v>20.560400000000001</v>
      </c>
      <c r="AU22" s="16">
        <v>1.4</v>
      </c>
      <c r="AV22" s="3">
        <v>6</v>
      </c>
      <c r="AW22" s="3">
        <v>21</v>
      </c>
      <c r="AY22" s="3" t="s">
        <v>150</v>
      </c>
      <c r="AZ22" s="33" cm="1">
        <f t="array" ref="AZ22:BD22">_xlfn.XLOOKUP(AY22,AR22:AR401,AS22:AW401,0)</f>
        <v>6942.0680000000002</v>
      </c>
      <c r="BA22" s="34">
        <v>488.0326</v>
      </c>
      <c r="BB22" s="16">
        <v>2.1999999999999997</v>
      </c>
      <c r="BC22" s="32">
        <v>8</v>
      </c>
      <c r="BD22" s="3">
        <v>36</v>
      </c>
      <c r="BE22" s="16">
        <f t="shared" si="5"/>
        <v>6.5683175272216371E-2</v>
      </c>
      <c r="BF22" s="9">
        <f t="shared" si="6"/>
        <v>0.93431682472778366</v>
      </c>
      <c r="BJ22"/>
      <c r="BK22" t="s">
        <v>519</v>
      </c>
      <c r="BL22" s="67">
        <v>8501.2631999999994</v>
      </c>
    </row>
    <row r="23" spans="2:64" x14ac:dyDescent="0.35">
      <c r="B23" s="53" t="s">
        <v>526</v>
      </c>
      <c r="C23" s="58">
        <v>2239.9672999999998</v>
      </c>
      <c r="D23" s="30">
        <f t="shared" si="7"/>
        <v>0.24156544414542017</v>
      </c>
      <c r="E23" s="31">
        <f t="shared" si="8"/>
        <v>0.75843455585457986</v>
      </c>
      <c r="J23" s="53">
        <v>2017</v>
      </c>
      <c r="K23" s="66"/>
      <c r="Q23" t="s">
        <v>343</v>
      </c>
      <c r="R23" s="67">
        <v>6936.1019999999999</v>
      </c>
      <c r="U23" s="3" t="str">
        <v>Hon GuestStacker Chair</v>
      </c>
      <c r="V23" s="1">
        <v>6936.1019999999999</v>
      </c>
      <c r="W23" s="1">
        <v>0</v>
      </c>
      <c r="X23" s="1"/>
      <c r="Y23" s="1"/>
      <c r="AA23" s="1"/>
      <c r="AC23" s="1">
        <f t="shared" ref="AC23:AC45" si="9">IF(Z22=$AE$26,$AE$27,"")</f>
        <v>6942.0680000000002</v>
      </c>
      <c r="AE23" s="1"/>
      <c r="AG23" s="1"/>
      <c r="AK23" t="s">
        <v>125</v>
      </c>
      <c r="AL23" s="67">
        <v>108.04</v>
      </c>
      <c r="AM23" s="67">
        <v>37.406999999999996</v>
      </c>
      <c r="AN23" s="55">
        <v>1.2000000000000002</v>
      </c>
      <c r="AO23" s="69">
        <v>8</v>
      </c>
      <c r="AP23" s="69">
        <v>33</v>
      </c>
      <c r="AR23" s="3" t="str">
        <v>3M Hangers With Command Adhesive</v>
      </c>
      <c r="AS23" s="1">
        <v>108.04</v>
      </c>
      <c r="AT23" s="3">
        <v>37.406999999999996</v>
      </c>
      <c r="AU23" s="16">
        <v>1.2000000000000002</v>
      </c>
      <c r="AV23" s="3">
        <v>8</v>
      </c>
      <c r="AW23" s="3">
        <v>33</v>
      </c>
      <c r="AX23" s="21"/>
      <c r="AY23" s="21"/>
      <c r="AZ23" s="21"/>
      <c r="BA23" s="21"/>
    </row>
    <row r="24" spans="2:64" x14ac:dyDescent="0.35">
      <c r="B24" s="53" t="s">
        <v>75</v>
      </c>
      <c r="C24" s="58">
        <v>1949.7716</v>
      </c>
      <c r="D24" s="30">
        <f t="shared" si="7"/>
        <v>0.21026978498129262</v>
      </c>
      <c r="E24" s="31">
        <f t="shared" si="8"/>
        <v>0.78973021501870733</v>
      </c>
      <c r="J24" s="68" t="s">
        <v>28</v>
      </c>
      <c r="K24" s="66">
        <v>210</v>
      </c>
      <c r="Q24" t="s">
        <v>161</v>
      </c>
      <c r="R24" s="67">
        <v>6776.5619999999999</v>
      </c>
      <c r="U24" s="3" t="str">
        <v>Bretford CR8500 Series Meeting Room Furniture</v>
      </c>
      <c r="V24" s="1">
        <v>6776.5619999999999</v>
      </c>
      <c r="W24" s="1">
        <v>0</v>
      </c>
      <c r="X24" s="1"/>
      <c r="Y24" s="1"/>
      <c r="Z24" s="3" t="s">
        <v>493</v>
      </c>
      <c r="AA24" s="3" t="s">
        <v>497</v>
      </c>
      <c r="AC24" s="1" t="str">
        <f t="shared" si="9"/>
        <v/>
      </c>
      <c r="AD24" s="27" t="s">
        <v>496</v>
      </c>
      <c r="AE24" s="1"/>
      <c r="AG24" s="1"/>
      <c r="AK24" t="s">
        <v>150</v>
      </c>
      <c r="AL24" s="67">
        <v>6942.0680000000002</v>
      </c>
      <c r="AM24" s="67">
        <v>488.0326</v>
      </c>
      <c r="AN24" s="55">
        <v>2.1999999999999997</v>
      </c>
      <c r="AO24" s="69">
        <v>8</v>
      </c>
      <c r="AP24" s="69">
        <v>36</v>
      </c>
      <c r="AR24" s="3" t="str">
        <v>Bevis Oval Conference Table, Walnut</v>
      </c>
      <c r="AS24" s="1">
        <v>6942.0680000000002</v>
      </c>
      <c r="AT24" s="3">
        <v>488.0326</v>
      </c>
      <c r="AU24" s="16">
        <v>2.1999999999999997</v>
      </c>
      <c r="AV24" s="3">
        <v>8</v>
      </c>
      <c r="AW24" s="3">
        <v>36</v>
      </c>
      <c r="AX24" s="21"/>
      <c r="AY24" s="21"/>
      <c r="AZ24" s="21"/>
      <c r="BA24" s="21"/>
    </row>
    <row r="25" spans="2:64" x14ac:dyDescent="0.35">
      <c r="B25" s="53" t="s">
        <v>527</v>
      </c>
      <c r="C25" s="58">
        <v>1516.4206999999999</v>
      </c>
      <c r="D25" s="30">
        <f t="shared" si="7"/>
        <v>0.1635357980033052</v>
      </c>
      <c r="E25" s="31">
        <f t="shared" si="8"/>
        <v>0.8364642019966948</v>
      </c>
      <c r="J25" s="68" t="s">
        <v>29</v>
      </c>
      <c r="K25" s="66">
        <v>116</v>
      </c>
      <c r="Q25" t="s">
        <v>342</v>
      </c>
      <c r="R25" s="67">
        <v>6748.482</v>
      </c>
      <c r="U25" s="3" t="str">
        <v>Hon Every-Day Series Multi-Task Chairs</v>
      </c>
      <c r="V25" s="1">
        <v>6748.482</v>
      </c>
      <c r="W25" s="1">
        <v>0</v>
      </c>
      <c r="X25" s="1"/>
      <c r="Y25" s="1"/>
      <c r="Z25" s="1" t="str">
        <f>INDEX($U$3:$U$382,MATCH(AA25,$V$3:$V$382,0))</f>
        <v>Ultra Commercial Grade Dual Valve Door Closer</v>
      </c>
      <c r="AA25" s="1">
        <f>V363</f>
        <v>63.823999999999998</v>
      </c>
      <c r="AC25" s="1" t="str">
        <f t="shared" si="9"/>
        <v/>
      </c>
      <c r="AD25" s="3" t="s">
        <v>498</v>
      </c>
      <c r="AE25" s="3">
        <v>20</v>
      </c>
      <c r="AG25" s="1"/>
      <c r="AK25" t="s">
        <v>161</v>
      </c>
      <c r="AL25" s="67">
        <v>6776.5619999999999</v>
      </c>
      <c r="AM25" s="67">
        <v>882.15599999999995</v>
      </c>
      <c r="AN25" s="55">
        <v>1.1000000000000001</v>
      </c>
      <c r="AO25" s="69">
        <v>6</v>
      </c>
      <c r="AP25" s="69">
        <v>21</v>
      </c>
      <c r="AR25" s="3" t="str">
        <v>Bretford CR8500 Series Meeting Room Furniture</v>
      </c>
      <c r="AS25" s="1">
        <v>6776.5619999999999</v>
      </c>
      <c r="AT25" s="3">
        <v>882.15599999999995</v>
      </c>
      <c r="AU25" s="16">
        <v>1.1000000000000001</v>
      </c>
      <c r="AV25" s="3">
        <v>6</v>
      </c>
      <c r="AW25" s="3">
        <v>21</v>
      </c>
      <c r="AX25" s="21"/>
      <c r="AY25" s="21"/>
      <c r="AZ25" s="21"/>
      <c r="BA25" s="32">
        <f>Filter</f>
        <v>20</v>
      </c>
    </row>
    <row r="26" spans="2:64" x14ac:dyDescent="0.35">
      <c r="B26" s="53" t="s">
        <v>528</v>
      </c>
      <c r="C26" s="58">
        <v>1467.1573000000001</v>
      </c>
      <c r="D26" s="30">
        <f t="shared" si="7"/>
        <v>0.1582230708482644</v>
      </c>
      <c r="E26" s="31">
        <f t="shared" si="8"/>
        <v>0.84177692915173563</v>
      </c>
      <c r="J26" s="68" t="s">
        <v>30</v>
      </c>
      <c r="K26" s="66">
        <v>77</v>
      </c>
      <c r="Q26" t="s">
        <v>348</v>
      </c>
      <c r="R26" s="67">
        <v>6584.64</v>
      </c>
      <c r="U26" s="3" t="str">
        <v>Hon Multipurpose Stacking Arm Chairs</v>
      </c>
      <c r="V26" s="1">
        <v>6584.64</v>
      </c>
      <c r="W26" s="1">
        <v>0</v>
      </c>
      <c r="X26" s="1"/>
      <c r="Y26" s="1"/>
      <c r="Z26" s="1" t="str">
        <f t="shared" ref="Z26:Z44" si="10">INDEX($U$3:$U$382,MATCH(AA26,$V$3:$V$382,0))</f>
        <v>G.E. Halogen Desk Lamp Bulbs</v>
      </c>
      <c r="AA26" s="1">
        <f t="shared" ref="AA26:AA43" si="11">V364</f>
        <v>62.82</v>
      </c>
      <c r="AC26" s="1" t="str">
        <f t="shared" si="9"/>
        <v/>
      </c>
      <c r="AD26" s="3" t="s">
        <v>499</v>
      </c>
      <c r="AE26" s="1" t="str" cm="1">
        <f t="array" ref="AE26">INDEX(Z3:Z22,AE25)</f>
        <v>Bevis Oval Conference Table, Walnut</v>
      </c>
      <c r="AG26" s="1"/>
      <c r="AK26" t="s">
        <v>113</v>
      </c>
      <c r="AL26" s="67">
        <v>9544.7250000000004</v>
      </c>
      <c r="AM26" s="67">
        <v>610.86239999999998</v>
      </c>
      <c r="AN26" s="55">
        <v>2.4499999999999997</v>
      </c>
      <c r="AO26" s="69">
        <v>7</v>
      </c>
      <c r="AP26" s="69">
        <v>33</v>
      </c>
      <c r="AR26" s="3" t="str">
        <v>Bush Advantage Collection Racetrack Conference Table</v>
      </c>
      <c r="AS26" s="1">
        <v>9544.7250000000004</v>
      </c>
      <c r="AT26" s="3">
        <v>610.86239999999998</v>
      </c>
      <c r="AU26" s="16">
        <v>2.4499999999999997</v>
      </c>
      <c r="AV26" s="3">
        <v>7</v>
      </c>
      <c r="AW26" s="3">
        <v>33</v>
      </c>
      <c r="AX26" s="21"/>
      <c r="AY26" s="21"/>
      <c r="AZ26" s="21"/>
      <c r="BA26" s="21" t="str">
        <f>Selected_product</f>
        <v>Bevis Oval Conference Table, Walnut</v>
      </c>
    </row>
    <row r="27" spans="2:64" x14ac:dyDescent="0.35">
      <c r="B27" s="53" t="s">
        <v>529</v>
      </c>
      <c r="C27" s="58">
        <v>1437.8985</v>
      </c>
      <c r="D27" s="30">
        <f t="shared" si="7"/>
        <v>0.1550677055814759</v>
      </c>
      <c r="E27" s="31">
        <f t="shared" si="8"/>
        <v>0.84493229441852413</v>
      </c>
      <c r="J27" s="53" t="s">
        <v>43</v>
      </c>
      <c r="K27" s="66">
        <v>707</v>
      </c>
      <c r="Q27" t="s">
        <v>142</v>
      </c>
      <c r="R27" s="67">
        <v>6518.7539999999999</v>
      </c>
      <c r="U27" s="3" t="str">
        <v>Balt Solid Wood Round Tables</v>
      </c>
      <c r="V27" s="1">
        <v>6518.7539999999999</v>
      </c>
      <c r="W27" s="1">
        <v>0</v>
      </c>
      <c r="X27" s="1"/>
      <c r="Y27" s="1"/>
      <c r="Z27" s="1" t="str">
        <f t="shared" si="10"/>
        <v>Master Caster Door Stop, Large Brown</v>
      </c>
      <c r="AA27" s="1">
        <f t="shared" si="11"/>
        <v>59.695999999999998</v>
      </c>
      <c r="AC27" s="1" t="str">
        <f t="shared" si="9"/>
        <v/>
      </c>
      <c r="AD27" s="3" t="s">
        <v>500</v>
      </c>
      <c r="AE27" s="1">
        <f>_xlfn.XLOOKUP(AE26,U3:U382,V3:V382)</f>
        <v>6942.0680000000002</v>
      </c>
      <c r="AG27" s="1"/>
      <c r="AK27" t="s">
        <v>169</v>
      </c>
      <c r="AL27" s="67">
        <v>3626.0056</v>
      </c>
      <c r="AM27" s="67">
        <v>140.97999999999999</v>
      </c>
      <c r="AN27" s="55">
        <v>1.8699999999999999</v>
      </c>
      <c r="AO27" s="69">
        <v>8</v>
      </c>
      <c r="AP27" s="69">
        <v>34</v>
      </c>
      <c r="AR27" s="3" t="str">
        <v>Bush Heritage Pine Collection 5-Shelf Bookcase, Albany Pine Finish, *Special Order</v>
      </c>
      <c r="AS27" s="1">
        <v>3626.0056</v>
      </c>
      <c r="AT27" s="3">
        <v>140.97999999999999</v>
      </c>
      <c r="AU27" s="16">
        <v>1.8699999999999999</v>
      </c>
      <c r="AV27" s="3">
        <v>8</v>
      </c>
      <c r="AW27" s="3">
        <v>34</v>
      </c>
      <c r="AX27" s="21"/>
      <c r="AY27" s="21"/>
      <c r="AZ27" s="21"/>
      <c r="BA27" s="21" t="s">
        <v>508</v>
      </c>
      <c r="BB27" s="3" t="s">
        <v>504</v>
      </c>
    </row>
    <row r="28" spans="2:64" ht="22" x14ac:dyDescent="0.65">
      <c r="B28" s="53" t="s">
        <v>43</v>
      </c>
      <c r="C28" s="58">
        <v>34537.534299999999</v>
      </c>
      <c r="Q28" t="s">
        <v>352</v>
      </c>
      <c r="R28" s="67">
        <v>6483.7960000000003</v>
      </c>
      <c r="U28" s="3" t="str">
        <v>Hon Pagoda Stacking Chairs</v>
      </c>
      <c r="V28" s="1">
        <v>6483.7960000000003</v>
      </c>
      <c r="W28" s="1">
        <v>0</v>
      </c>
      <c r="X28" s="1"/>
      <c r="Y28" s="1"/>
      <c r="Z28" s="1" t="str">
        <f t="shared" si="10"/>
        <v>Executive Impressions 16-1/2" Circular Wall Clock</v>
      </c>
      <c r="AA28" s="1">
        <f t="shared" si="11"/>
        <v>58.783999999999999</v>
      </c>
      <c r="AC28" s="1" t="str">
        <f t="shared" si="9"/>
        <v/>
      </c>
      <c r="AG28" s="1"/>
      <c r="AK28" t="s">
        <v>170</v>
      </c>
      <c r="AL28" s="67">
        <v>748.86080000000004</v>
      </c>
      <c r="AM28" s="67">
        <v>60.392000000000003</v>
      </c>
      <c r="AN28" s="55">
        <v>0.52</v>
      </c>
      <c r="AO28" s="69">
        <v>3</v>
      </c>
      <c r="AP28" s="69">
        <v>6</v>
      </c>
      <c r="AR28" s="3" t="str">
        <v>Bush Mission Pointe Library</v>
      </c>
      <c r="AS28" s="1">
        <v>748.86080000000004</v>
      </c>
      <c r="AT28" s="3">
        <v>60.392000000000003</v>
      </c>
      <c r="AU28" s="16">
        <v>0.52</v>
      </c>
      <c r="AV28" s="3">
        <v>3</v>
      </c>
      <c r="AW28" s="3">
        <v>6</v>
      </c>
      <c r="AX28" s="21"/>
      <c r="AY28" s="21"/>
      <c r="AZ28" s="21"/>
      <c r="BA28" s="37">
        <f>_xlfn.XLOOKUP(BA26,AY3:AY22,BE3:BE22)</f>
        <v>6.5683175272216371E-2</v>
      </c>
      <c r="BB28" s="16">
        <f>_xlfn.XLOOKUP(BA26,AY3:AY22,BF3:BF22)</f>
        <v>0.93431682472778366</v>
      </c>
    </row>
    <row r="29" spans="2:64" x14ac:dyDescent="0.35">
      <c r="Q29" t="s">
        <v>308</v>
      </c>
      <c r="R29" s="67">
        <v>6410.8739999999998</v>
      </c>
      <c r="U29" s="3" t="str">
        <v>Global Leather and Oak Executive Chair, Black</v>
      </c>
      <c r="V29" s="1">
        <v>6410.8739999999998</v>
      </c>
      <c r="W29" s="1">
        <v>0</v>
      </c>
      <c r="X29" s="1"/>
      <c r="Y29" s="1"/>
      <c r="Z29" s="1" t="str">
        <f t="shared" si="10"/>
        <v>Executive Impressions 13-1/2" Indoor/Outdoor Wall Clock</v>
      </c>
      <c r="AA29" s="1">
        <f t="shared" si="11"/>
        <v>56.1</v>
      </c>
      <c r="AC29" s="1" t="str">
        <f t="shared" si="9"/>
        <v/>
      </c>
      <c r="AG29" s="1"/>
      <c r="AK29" t="s">
        <v>176</v>
      </c>
      <c r="AL29" s="67">
        <v>1426.8878</v>
      </c>
      <c r="AM29" s="67">
        <v>104.9438</v>
      </c>
      <c r="AN29" s="55">
        <v>2.0699999999999998</v>
      </c>
      <c r="AO29" s="69">
        <v>9</v>
      </c>
      <c r="AP29" s="69">
        <v>32</v>
      </c>
      <c r="AR29" s="3" t="str">
        <v>Bush Westfield Collection Bookcases, Medium Cherry Finish</v>
      </c>
      <c r="AS29" s="1">
        <v>1426.8878</v>
      </c>
      <c r="AT29" s="3">
        <v>104.9438</v>
      </c>
      <c r="AU29" s="16">
        <v>2.0699999999999998</v>
      </c>
      <c r="AV29" s="3">
        <v>9</v>
      </c>
      <c r="AW29" s="3">
        <v>32</v>
      </c>
      <c r="AX29" s="21"/>
      <c r="AY29" s="21"/>
      <c r="AZ29" s="21"/>
      <c r="BA29" s="21" t="s">
        <v>510</v>
      </c>
      <c r="BB29" s="38" t="str">
        <f>BA26&amp;" "&amp;"Performance Outcome"</f>
        <v>Bevis Oval Conference Table, Walnut Performance Outcome</v>
      </c>
    </row>
    <row r="30" spans="2:64" x14ac:dyDescent="0.35">
      <c r="Q30" t="s">
        <v>289</v>
      </c>
      <c r="R30" s="67">
        <v>6084.1440000000002</v>
      </c>
      <c r="U30" s="3" t="str">
        <v>Global Comet Stacking Arm Chair</v>
      </c>
      <c r="V30" s="1">
        <v>6084.1440000000002</v>
      </c>
      <c r="W30" s="1">
        <v>0</v>
      </c>
      <c r="X30" s="1"/>
      <c r="Y30" s="1"/>
      <c r="Z30" s="1" t="str">
        <f t="shared" si="10"/>
        <v>Eldon Imˆge Series Desk Accessories, Clear</v>
      </c>
      <c r="AA30" s="1">
        <f t="shared" si="11"/>
        <v>53.46</v>
      </c>
      <c r="AC30" s="1" t="str">
        <f t="shared" si="9"/>
        <v/>
      </c>
      <c r="AG30" s="1"/>
      <c r="AK30" t="s">
        <v>194</v>
      </c>
      <c r="AL30" s="67">
        <v>508.72800000000001</v>
      </c>
      <c r="AM30" s="67">
        <v>99.580799999999996</v>
      </c>
      <c r="AN30" s="55">
        <v>0.60000000000000009</v>
      </c>
      <c r="AO30" s="69">
        <v>5</v>
      </c>
      <c r="AP30" s="69">
        <v>21</v>
      </c>
      <c r="AR30" s="3" t="str">
        <v>DataProducts Ampli Magnifier Task Lamp, Black,</v>
      </c>
      <c r="AS30" s="1">
        <v>508.72800000000001</v>
      </c>
      <c r="AT30" s="3">
        <v>99.580799999999996</v>
      </c>
      <c r="AU30" s="16">
        <v>0.60000000000000009</v>
      </c>
      <c r="AV30" s="3">
        <v>5</v>
      </c>
      <c r="AW30" s="3">
        <v>21</v>
      </c>
      <c r="AX30" s="21"/>
      <c r="AY30" s="21"/>
      <c r="AZ30" s="21"/>
      <c r="BA30" s="39" t="s">
        <v>511</v>
      </c>
      <c r="BB30" s="40">
        <f>_xlfn.XLOOKUP(BA26,AY3:AY22,BB3:BB22)</f>
        <v>2.1999999999999997</v>
      </c>
      <c r="BC30" s="16"/>
    </row>
    <row r="31" spans="2:64" x14ac:dyDescent="0.35">
      <c r="B31" s="64" t="s">
        <v>78</v>
      </c>
      <c r="C31" s="65"/>
      <c r="D31" s="65"/>
      <c r="E31" s="65"/>
      <c r="F31" s="65"/>
      <c r="G31" s="65"/>
      <c r="Q31" t="s">
        <v>300</v>
      </c>
      <c r="R31" s="67">
        <v>6008.5360000000001</v>
      </c>
      <c r="U31" s="3" t="str">
        <v>Global Ergonomic Managers Chair</v>
      </c>
      <c r="V31" s="1">
        <v>6008.5360000000001</v>
      </c>
      <c r="W31" s="1">
        <v>0</v>
      </c>
      <c r="X31" s="1"/>
      <c r="Y31" s="1"/>
      <c r="Z31" s="1" t="str">
        <f t="shared" si="10"/>
        <v>Anderson Hickey Conga Table Tops &amp; Accessories</v>
      </c>
      <c r="AA31" s="1">
        <f t="shared" si="11"/>
        <v>51.781999999999996</v>
      </c>
      <c r="AC31" s="1" t="str">
        <f t="shared" si="9"/>
        <v/>
      </c>
      <c r="AE31" s="1"/>
      <c r="AG31" s="1"/>
      <c r="AK31" t="s">
        <v>196</v>
      </c>
      <c r="AL31" s="67">
        <v>168.744</v>
      </c>
      <c r="AM31" s="67">
        <v>57.353999999999999</v>
      </c>
      <c r="AN31" s="55">
        <v>1.2000000000000002</v>
      </c>
      <c r="AO31" s="69">
        <v>7</v>
      </c>
      <c r="AP31" s="69">
        <v>23</v>
      </c>
      <c r="AR31" s="3" t="str">
        <v>DAX Charcoal/Nickel-Tone Document Frame, 5 x 7</v>
      </c>
      <c r="AS31" s="1">
        <v>168.744</v>
      </c>
      <c r="AT31" s="3">
        <v>57.353999999999999</v>
      </c>
      <c r="AU31" s="16">
        <v>1.2000000000000002</v>
      </c>
      <c r="AV31" s="3">
        <v>7</v>
      </c>
      <c r="AW31" s="3">
        <v>23</v>
      </c>
      <c r="AX31" s="21"/>
      <c r="AY31" s="21"/>
      <c r="AZ31" s="21"/>
      <c r="BA31" s="39" t="s">
        <v>509</v>
      </c>
      <c r="BB31" s="41">
        <f>_xlfn.XLOOKUP(BA26,AY3:AY22,BC3:BC22)</f>
        <v>8</v>
      </c>
    </row>
    <row r="32" spans="2:64" x14ac:dyDescent="0.35">
      <c r="F32" s="16"/>
      <c r="Q32" t="s">
        <v>310</v>
      </c>
      <c r="R32" s="67">
        <v>5989.2039999999997</v>
      </c>
      <c r="U32" s="3" t="str">
        <v>Global Leather Highback Executive Chair with Pneumatic Height Adjustment, Black</v>
      </c>
      <c r="V32" s="1">
        <v>5989.2039999999997</v>
      </c>
      <c r="W32" s="1">
        <v>0</v>
      </c>
      <c r="X32" s="1"/>
      <c r="Y32" s="1"/>
      <c r="Z32" s="1" t="str">
        <f t="shared" si="10"/>
        <v>Eldon Image Series Black Desk Accessories</v>
      </c>
      <c r="AA32" s="1">
        <f t="shared" si="11"/>
        <v>48.851999999999997</v>
      </c>
      <c r="AC32" s="1" t="str">
        <f t="shared" si="9"/>
        <v/>
      </c>
      <c r="AE32" s="1"/>
      <c r="AG32" s="1"/>
      <c r="AK32" t="s">
        <v>207</v>
      </c>
      <c r="AL32" s="67">
        <v>216.14400000000001</v>
      </c>
      <c r="AM32" s="67">
        <v>79.632000000000005</v>
      </c>
      <c r="AN32" s="55">
        <v>0.8</v>
      </c>
      <c r="AO32" s="69">
        <v>8</v>
      </c>
      <c r="AP32" s="69">
        <v>25</v>
      </c>
      <c r="AR32" s="3" t="str">
        <v>DAX Two-Tone Rosewood/Black Document Frame, Desktop, 5 x 7</v>
      </c>
      <c r="AS32" s="1">
        <v>216.14400000000001</v>
      </c>
      <c r="AT32" s="3">
        <v>79.632000000000005</v>
      </c>
      <c r="AU32" s="16">
        <v>0.8</v>
      </c>
      <c r="AV32" s="3">
        <v>8</v>
      </c>
      <c r="AW32" s="3">
        <v>25</v>
      </c>
      <c r="AX32" s="21"/>
      <c r="AY32" s="21"/>
      <c r="AZ32" s="21"/>
      <c r="BA32" s="39" t="s">
        <v>68</v>
      </c>
      <c r="BB32" s="41">
        <f>_xlfn.XLOOKUP(BA26,AY3:AY22,BD3:BD22)</f>
        <v>36</v>
      </c>
    </row>
    <row r="33" spans="2:55" ht="24.5" x14ac:dyDescent="0.35">
      <c r="B33" s="52" t="s">
        <v>1</v>
      </c>
      <c r="C33" t="s">
        <v>27</v>
      </c>
      <c r="D33" t="s">
        <v>0</v>
      </c>
      <c r="F33" s="16" t="s">
        <v>78</v>
      </c>
      <c r="G33" s="42">
        <f>GETPIVOTDATA("[Measures].[Total Profit]",$B$33)/GETPIVOTDATA("[Measures].[Total Revenue]",$B$33)</f>
        <v>0.10699111010927256</v>
      </c>
      <c r="Q33" t="s">
        <v>335</v>
      </c>
      <c r="R33" s="67">
        <v>5965.09</v>
      </c>
      <c r="U33" s="3" t="str">
        <v>Hon 5100 Series Wood Tables</v>
      </c>
      <c r="V33" s="1">
        <v>5965.09</v>
      </c>
      <c r="W33" s="1">
        <v>0</v>
      </c>
      <c r="X33" s="1"/>
      <c r="Y33" s="1"/>
      <c r="Z33" s="1" t="str">
        <f t="shared" si="10"/>
        <v>Master Caster Door Stop, Gray</v>
      </c>
      <c r="AA33" s="1">
        <f t="shared" si="11"/>
        <v>47.752000000000002</v>
      </c>
      <c r="AC33" s="1" t="str">
        <f t="shared" si="9"/>
        <v/>
      </c>
      <c r="AE33" s="1"/>
      <c r="AG33" s="1"/>
      <c r="AK33" t="s">
        <v>212</v>
      </c>
      <c r="AL33" s="67">
        <v>1685.44</v>
      </c>
      <c r="AM33" s="67">
        <v>320.23360000000002</v>
      </c>
      <c r="AN33" s="55">
        <v>0.8</v>
      </c>
      <c r="AO33" s="69">
        <v>5</v>
      </c>
      <c r="AP33" s="69">
        <v>18</v>
      </c>
      <c r="AR33" s="3" t="str">
        <v>Deflect-o DuraMat Antistatic Studded Beveled Mat for Medium Pile Carpeting</v>
      </c>
      <c r="AS33" s="1">
        <v>1685.44</v>
      </c>
      <c r="AT33" s="3">
        <v>320.23360000000002</v>
      </c>
      <c r="AU33" s="16">
        <v>0.8</v>
      </c>
      <c r="AV33" s="3">
        <v>5</v>
      </c>
      <c r="AW33" s="3">
        <v>18</v>
      </c>
      <c r="AX33" s="21"/>
      <c r="AY33" s="21"/>
      <c r="AZ33" s="21"/>
      <c r="BA33" s="21"/>
      <c r="BB33" s="43"/>
      <c r="BC33" s="44"/>
    </row>
    <row r="34" spans="2:55" x14ac:dyDescent="0.35">
      <c r="B34" s="53" t="s">
        <v>79</v>
      </c>
      <c r="C34" s="67"/>
      <c r="D34" s="67"/>
      <c r="F34" s="3" t="s">
        <v>104</v>
      </c>
      <c r="G34" s="45">
        <f>GETPIVOTDATA("[Measures].[#Number of Orders]",$H$2)</f>
        <v>2121</v>
      </c>
      <c r="Q34" t="s">
        <v>332</v>
      </c>
      <c r="R34" s="67">
        <v>5906.0320000000002</v>
      </c>
      <c r="U34" s="3" t="str">
        <v>Hon 4070 Series Pagoda Round Back Stacking Chairs</v>
      </c>
      <c r="V34" s="1">
        <v>5906.0320000000002</v>
      </c>
      <c r="W34" s="1">
        <v>0</v>
      </c>
      <c r="X34" s="1"/>
      <c r="Y34" s="1"/>
      <c r="Z34" s="1" t="str">
        <f t="shared" si="10"/>
        <v>Stacking Tray, Side-Loading, Legal, Smoke</v>
      </c>
      <c r="AA34" s="1">
        <f t="shared" si="11"/>
        <v>46.591999999999999</v>
      </c>
      <c r="AC34" s="1" t="str">
        <f t="shared" si="9"/>
        <v/>
      </c>
      <c r="AE34" s="1"/>
      <c r="AG34" s="1"/>
      <c r="AK34" t="s">
        <v>213</v>
      </c>
      <c r="AL34" s="67">
        <v>673.87</v>
      </c>
      <c r="AM34" s="67">
        <v>79.755499999999998</v>
      </c>
      <c r="AN34" s="55">
        <v>0.4</v>
      </c>
      <c r="AO34" s="69">
        <v>6</v>
      </c>
      <c r="AP34" s="69">
        <v>17</v>
      </c>
      <c r="AR34" s="3" t="str">
        <v>Deflect-o DuraMat Lighweight, Studded, Beveled Mat for Low Pile Carpeting</v>
      </c>
      <c r="AS34" s="1">
        <v>673.87</v>
      </c>
      <c r="AT34" s="3">
        <v>79.755499999999998</v>
      </c>
      <c r="AU34" s="16">
        <v>0.4</v>
      </c>
      <c r="AV34" s="3">
        <v>6</v>
      </c>
      <c r="AW34" s="3">
        <v>17</v>
      </c>
      <c r="AX34" s="21"/>
      <c r="AY34" s="21"/>
      <c r="AZ34" s="21"/>
      <c r="BA34" s="21"/>
      <c r="BB34" s="46"/>
      <c r="BC34" s="46"/>
    </row>
    <row r="35" spans="2:55" x14ac:dyDescent="0.35">
      <c r="B35" s="68">
        <v>2014</v>
      </c>
      <c r="C35" s="67">
        <v>4607.7997999999998</v>
      </c>
      <c r="D35" s="67">
        <v>50082.447999999997</v>
      </c>
      <c r="F35" s="3" t="s">
        <v>105</v>
      </c>
      <c r="G35" s="3">
        <f>GETPIVOTDATA("[Measures].[#Number of Cities]",$G$11)</f>
        <v>371</v>
      </c>
      <c r="Q35" t="s">
        <v>309</v>
      </c>
      <c r="R35" s="67">
        <v>5861.5330000000004</v>
      </c>
      <c r="U35" s="3" t="str">
        <v>Global Leather Executive Chair</v>
      </c>
      <c r="V35" s="1">
        <v>5861.5330000000004</v>
      </c>
      <c r="W35" s="1">
        <v>0</v>
      </c>
      <c r="X35" s="1"/>
      <c r="Y35" s="1"/>
      <c r="Z35" s="1" t="str">
        <f t="shared" si="10"/>
        <v>GE General Purpose, Extra Long Life, Showcase &amp; Floodlight Incandescent Bulbs</v>
      </c>
      <c r="AA35" s="1">
        <f t="shared" si="11"/>
        <v>45.396000000000001</v>
      </c>
      <c r="AC35" s="1" t="str">
        <f t="shared" si="9"/>
        <v/>
      </c>
      <c r="AE35" s="1"/>
      <c r="AG35" s="1"/>
      <c r="AK35" t="s">
        <v>232</v>
      </c>
      <c r="AL35" s="67">
        <v>379.4</v>
      </c>
      <c r="AM35" s="67">
        <v>56.91</v>
      </c>
      <c r="AN35" s="55">
        <v>0.6</v>
      </c>
      <c r="AO35" s="69">
        <v>3</v>
      </c>
      <c r="AP35" s="69">
        <v>10</v>
      </c>
      <c r="AR35" s="3" t="str">
        <v>Eldon Advantage Foldable Chair Mats for Low Pile Carpets</v>
      </c>
      <c r="AS35" s="1">
        <v>379.4</v>
      </c>
      <c r="AT35" s="3">
        <v>56.91</v>
      </c>
      <c r="AU35" s="16">
        <v>0.6</v>
      </c>
      <c r="AV35" s="3">
        <v>3</v>
      </c>
      <c r="AW35" s="3">
        <v>10</v>
      </c>
      <c r="AX35" s="21"/>
      <c r="AY35" s="21"/>
      <c r="AZ35" s="21"/>
      <c r="BA35" s="21"/>
      <c r="BB35" s="46"/>
      <c r="BC35" s="46"/>
    </row>
    <row r="36" spans="2:55" x14ac:dyDescent="0.35">
      <c r="B36" s="68">
        <v>2015</v>
      </c>
      <c r="C36" s="67">
        <v>6189.7114000000001</v>
      </c>
      <c r="D36" s="67">
        <v>57004.943500000001</v>
      </c>
      <c r="F36" s="3" t="s">
        <v>106</v>
      </c>
      <c r="G36" s="47">
        <f>GETPIVOTDATA("[Measures].[#Number of Customers]",$J$10)</f>
        <v>707</v>
      </c>
      <c r="Q36" t="s">
        <v>404</v>
      </c>
      <c r="R36" s="67">
        <v>5801.8159999999998</v>
      </c>
      <c r="U36" s="3" t="str">
        <v>Office Impressions End Table, 20-1/2"H x 24"W x 20"D</v>
      </c>
      <c r="V36" s="1">
        <v>5801.8159999999998</v>
      </c>
      <c r="W36" s="1">
        <v>0</v>
      </c>
      <c r="X36" s="1"/>
      <c r="Y36" s="1"/>
      <c r="Z36" s="1" t="str">
        <f t="shared" si="10"/>
        <v>Document Clip Frames</v>
      </c>
      <c r="AA36" s="1">
        <f t="shared" si="11"/>
        <v>45.036000000000001</v>
      </c>
      <c r="AC36" s="1" t="str">
        <f t="shared" si="9"/>
        <v/>
      </c>
      <c r="AE36" s="1"/>
      <c r="AG36" s="1"/>
      <c r="AK36" t="s">
        <v>233</v>
      </c>
      <c r="AL36" s="67">
        <v>1431.944</v>
      </c>
      <c r="AM36" s="67">
        <v>75.808800000000005</v>
      </c>
      <c r="AN36" s="55">
        <v>0.2</v>
      </c>
      <c r="AO36" s="69">
        <v>4</v>
      </c>
      <c r="AP36" s="69">
        <v>14</v>
      </c>
      <c r="AR36" s="3" t="str">
        <v>Eldon Antistatic Chair Mats for Low to Medium Pile Carpets</v>
      </c>
      <c r="AS36" s="1">
        <v>1431.944</v>
      </c>
      <c r="AT36" s="3">
        <v>75.808800000000005</v>
      </c>
      <c r="AU36" s="16">
        <v>0.2</v>
      </c>
      <c r="AV36" s="3">
        <v>4</v>
      </c>
      <c r="AW36" s="3">
        <v>14</v>
      </c>
      <c r="AX36" s="21"/>
      <c r="AY36" s="21"/>
      <c r="AZ36" s="21"/>
      <c r="BA36" s="21"/>
    </row>
    <row r="37" spans="2:55" x14ac:dyDescent="0.35">
      <c r="B37" s="68">
        <v>2016</v>
      </c>
      <c r="C37" s="67">
        <v>6733.4683999999997</v>
      </c>
      <c r="D37" s="67">
        <v>73819.640499999994</v>
      </c>
      <c r="F37" s="3" t="s">
        <v>66</v>
      </c>
      <c r="G37" s="1">
        <f>GETPIVOTDATA("[Measures].[Total Revenue]",$B$33)</f>
        <v>741999.7953</v>
      </c>
      <c r="Q37" t="s">
        <v>439</v>
      </c>
      <c r="R37" s="67">
        <v>5697.76</v>
      </c>
      <c r="U37" s="3" t="str">
        <v>Safco Contoured Stacking Chairs</v>
      </c>
      <c r="V37" s="1">
        <v>5697.76</v>
      </c>
      <c r="W37" s="1">
        <v>0</v>
      </c>
      <c r="X37" s="1"/>
      <c r="Y37" s="1"/>
      <c r="Z37" s="1" t="str">
        <f t="shared" si="10"/>
        <v>Eldon Regeneration Recycled Desk Accessories, Black</v>
      </c>
      <c r="AA37" s="1">
        <f t="shared" si="11"/>
        <v>39.688000000000002</v>
      </c>
      <c r="AC37" s="1" t="str">
        <f t="shared" si="9"/>
        <v/>
      </c>
      <c r="AE37" s="1"/>
      <c r="AG37" s="1"/>
      <c r="AK37" t="s">
        <v>236</v>
      </c>
      <c r="AL37" s="67">
        <v>1200.9359999999999</v>
      </c>
      <c r="AM37" s="67">
        <v>80.062399999999997</v>
      </c>
      <c r="AN37" s="55">
        <v>0.8</v>
      </c>
      <c r="AO37" s="69">
        <v>5</v>
      </c>
      <c r="AP37" s="69">
        <v>18</v>
      </c>
      <c r="AR37" s="3" t="str">
        <v>Eldon ClusterMat Chair Mat with Cordless Antistatic Protection</v>
      </c>
      <c r="AS37" s="1">
        <v>1200.9359999999999</v>
      </c>
      <c r="AT37" s="3">
        <v>80.062399999999997</v>
      </c>
      <c r="AU37" s="16">
        <v>0.8</v>
      </c>
      <c r="AV37" s="3">
        <v>5</v>
      </c>
      <c r="AW37" s="3">
        <v>18</v>
      </c>
      <c r="AX37" s="21"/>
      <c r="AY37" s="21"/>
      <c r="AZ37" s="21"/>
      <c r="BA37" s="21"/>
    </row>
    <row r="38" spans="2:55" x14ac:dyDescent="0.35">
      <c r="B38" s="68">
        <v>2017</v>
      </c>
      <c r="C38" s="67">
        <v>6631.9044000000004</v>
      </c>
      <c r="D38" s="67">
        <v>71705.711500000005</v>
      </c>
      <c r="F38" s="3" t="s">
        <v>67</v>
      </c>
      <c r="G38" s="1">
        <f>GETPIVOTDATA("[Measures].[Total Profit]",$B$33)</f>
        <v>79387.381800000003</v>
      </c>
      <c r="Q38" t="s">
        <v>162</v>
      </c>
      <c r="R38" s="67">
        <v>5634.9</v>
      </c>
      <c r="U38" s="3" t="str">
        <v>Bretford ÒJust In TimeÓ Height-Adjustable Multi-Task Work Tables</v>
      </c>
      <c r="V38" s="1">
        <v>5634.9</v>
      </c>
      <c r="W38" s="1">
        <v>0</v>
      </c>
      <c r="X38" s="1"/>
      <c r="Y38" s="1"/>
      <c r="Z38" s="1" t="str">
        <f t="shared" si="10"/>
        <v>Eldon Pizzaz Desk Accessories</v>
      </c>
      <c r="AA38" s="1">
        <f t="shared" si="11"/>
        <v>37.463999999999999</v>
      </c>
      <c r="AC38" s="1" t="str">
        <f t="shared" si="9"/>
        <v/>
      </c>
      <c r="AE38" s="1"/>
      <c r="AG38" s="1"/>
      <c r="AK38" t="s">
        <v>249</v>
      </c>
      <c r="AL38" s="67">
        <v>53.46</v>
      </c>
      <c r="AM38" s="67">
        <v>13.8024</v>
      </c>
      <c r="AN38" s="55">
        <v>0.8</v>
      </c>
      <c r="AO38" s="69">
        <v>3</v>
      </c>
      <c r="AP38" s="69">
        <v>17</v>
      </c>
      <c r="AR38" s="3" t="str">
        <v>Eldon Imˆge Series Desk Accessories, Clear</v>
      </c>
      <c r="AS38" s="1">
        <v>53.46</v>
      </c>
      <c r="AT38" s="3">
        <v>13.8024</v>
      </c>
      <c r="AU38" s="16">
        <v>0.8</v>
      </c>
      <c r="AV38" s="3">
        <v>3</v>
      </c>
      <c r="AW38" s="3">
        <v>17</v>
      </c>
      <c r="AX38" s="21"/>
      <c r="AY38" s="21"/>
      <c r="AZ38" s="21"/>
      <c r="BA38" s="21"/>
    </row>
    <row r="39" spans="2:55" x14ac:dyDescent="0.35">
      <c r="B39" s="53" t="s">
        <v>80</v>
      </c>
      <c r="C39" s="67"/>
      <c r="D39" s="67"/>
      <c r="Q39" t="s">
        <v>140</v>
      </c>
      <c r="R39" s="67">
        <v>5492.8850000000002</v>
      </c>
      <c r="U39" s="3" t="str">
        <v>Atlantic Metals Mobile 5-Shelf Bookcases, Custom Colors</v>
      </c>
      <c r="V39" s="1">
        <v>5492.8850000000002</v>
      </c>
      <c r="W39" s="1">
        <v>0</v>
      </c>
      <c r="X39" s="1"/>
      <c r="Y39" s="1"/>
      <c r="Z39" s="1" t="str">
        <f t="shared" si="10"/>
        <v>Eldon 100 Class Desk Accessories</v>
      </c>
      <c r="AA39" s="1">
        <f t="shared" si="11"/>
        <v>36.396000000000001</v>
      </c>
      <c r="AC39" s="1" t="str">
        <f t="shared" si="9"/>
        <v/>
      </c>
      <c r="AE39" s="1"/>
      <c r="AG39" s="1"/>
      <c r="AK39" t="s">
        <v>259</v>
      </c>
      <c r="AL39" s="67">
        <v>168.84</v>
      </c>
      <c r="AM39" s="67">
        <v>78.256</v>
      </c>
      <c r="AN39" s="55">
        <v>0.2</v>
      </c>
      <c r="AO39" s="69">
        <v>5</v>
      </c>
      <c r="AP39" s="69">
        <v>13</v>
      </c>
      <c r="AR39" s="3" t="str">
        <v>Electrix 20W Halogen Replacement Bulb for Zoom-In Desk Lamp</v>
      </c>
      <c r="AS39" s="1">
        <v>168.84</v>
      </c>
      <c r="AT39" s="3">
        <v>78.256</v>
      </c>
      <c r="AU39" s="16">
        <v>0.2</v>
      </c>
      <c r="AV39" s="3">
        <v>5</v>
      </c>
      <c r="AW39" s="3">
        <v>13</v>
      </c>
      <c r="AX39" s="21"/>
      <c r="AY39" s="21"/>
      <c r="AZ39" s="21"/>
      <c r="BA39" s="21"/>
    </row>
    <row r="40" spans="2:55" x14ac:dyDescent="0.35">
      <c r="B40" s="68">
        <v>2014</v>
      </c>
      <c r="C40" s="67">
        <v>4628.4564</v>
      </c>
      <c r="D40" s="67">
        <v>26968.002499999999</v>
      </c>
      <c r="F40" s="63" t="s">
        <v>92</v>
      </c>
      <c r="G40" s="60"/>
      <c r="H40" s="60"/>
      <c r="I40" s="60"/>
      <c r="J40" s="60"/>
      <c r="K40" s="60"/>
      <c r="L40" s="60"/>
      <c r="Q40" t="s">
        <v>305</v>
      </c>
      <c r="R40" s="67">
        <v>5436.1580000000004</v>
      </c>
      <c r="U40" s="3" t="str">
        <v>Global High-Back Leather Tilter, Burgundy</v>
      </c>
      <c r="V40" s="1">
        <v>5436.1580000000004</v>
      </c>
      <c r="W40" s="1">
        <v>0</v>
      </c>
      <c r="X40" s="1"/>
      <c r="Y40" s="1"/>
      <c r="Z40" s="1" t="str">
        <f t="shared" si="10"/>
        <v>Contemporary Borderless Frame</v>
      </c>
      <c r="AA40" s="1">
        <f t="shared" si="11"/>
        <v>36.161999999999999</v>
      </c>
      <c r="AC40" s="1" t="str">
        <f t="shared" si="9"/>
        <v/>
      </c>
      <c r="AE40" s="1"/>
      <c r="AG40" s="1"/>
      <c r="AK40" t="s">
        <v>264</v>
      </c>
      <c r="AL40" s="67">
        <v>258.72000000000003</v>
      </c>
      <c r="AM40" s="67">
        <v>87.964799999999997</v>
      </c>
      <c r="AN40" s="55">
        <v>0</v>
      </c>
      <c r="AO40" s="69">
        <v>5</v>
      </c>
      <c r="AP40" s="69">
        <v>22</v>
      </c>
      <c r="AR40" s="3" t="str">
        <v>Executive Impressions 10" Spectator Wall Clock</v>
      </c>
      <c r="AS40" s="1">
        <v>258.72000000000003</v>
      </c>
      <c r="AT40" s="3">
        <v>87.964799999999997</v>
      </c>
      <c r="AU40" s="16">
        <v>0</v>
      </c>
      <c r="AV40" s="3">
        <v>5</v>
      </c>
      <c r="AW40" s="3">
        <v>22</v>
      </c>
      <c r="AX40" s="21"/>
      <c r="AY40" s="21"/>
      <c r="AZ40" s="21"/>
      <c r="BA40" s="21"/>
    </row>
    <row r="41" spans="2:55" x14ac:dyDescent="0.35">
      <c r="B41" s="68">
        <v>2015</v>
      </c>
      <c r="C41" s="67">
        <v>3123.2999</v>
      </c>
      <c r="D41" s="67">
        <v>24103.8145</v>
      </c>
      <c r="F41" s="3" t="s">
        <v>83</v>
      </c>
      <c r="I41" s="3" t="s">
        <v>90</v>
      </c>
      <c r="L41" s="3" t="s">
        <v>91</v>
      </c>
      <c r="Q41" t="s">
        <v>350</v>
      </c>
      <c r="R41" s="67">
        <v>5427.99</v>
      </c>
      <c r="U41" s="3" t="str">
        <v>Hon Olson Stacker Chairs</v>
      </c>
      <c r="V41" s="1">
        <v>5427.99</v>
      </c>
      <c r="W41" s="1">
        <v>0</v>
      </c>
      <c r="X41" s="1"/>
      <c r="Y41" s="1"/>
      <c r="Z41" s="1" t="str">
        <f t="shared" si="10"/>
        <v>Regeneration Desk Collection</v>
      </c>
      <c r="AA41" s="1">
        <f t="shared" si="11"/>
        <v>35.904000000000003</v>
      </c>
      <c r="AC41" s="1" t="str">
        <f t="shared" si="9"/>
        <v/>
      </c>
      <c r="AE41" s="1"/>
      <c r="AG41" s="1"/>
      <c r="AK41" t="s">
        <v>286</v>
      </c>
      <c r="AL41" s="67">
        <v>3955.6759999999999</v>
      </c>
      <c r="AM41" s="67">
        <v>573.72400000000005</v>
      </c>
      <c r="AN41" s="55">
        <v>1.4000000000000004</v>
      </c>
      <c r="AO41" s="69">
        <v>9</v>
      </c>
      <c r="AP41" s="69">
        <v>32</v>
      </c>
      <c r="AR41" s="3" t="str">
        <v>Global Airflow Leather Mesh Back Chair, Black</v>
      </c>
      <c r="AS41" s="1">
        <v>3955.6759999999999</v>
      </c>
      <c r="AT41" s="3">
        <v>573.72400000000005</v>
      </c>
      <c r="AU41" s="16">
        <v>1.4000000000000004</v>
      </c>
      <c r="AV41" s="3">
        <v>9</v>
      </c>
      <c r="AW41" s="3">
        <v>32</v>
      </c>
      <c r="AX41" s="21"/>
      <c r="AY41" s="21"/>
      <c r="AZ41" s="21"/>
      <c r="BA41" s="21"/>
    </row>
    <row r="42" spans="2:55" x14ac:dyDescent="0.35">
      <c r="B42" s="68">
        <v>2016</v>
      </c>
      <c r="C42" s="67">
        <v>4744.9983000000002</v>
      </c>
      <c r="D42" s="67">
        <v>27921.441500000001</v>
      </c>
      <c r="F42" s="48" t="s">
        <v>84</v>
      </c>
      <c r="G42" s="48">
        <v>20</v>
      </c>
      <c r="I42" s="48">
        <v>10</v>
      </c>
      <c r="J42" s="48">
        <v>10</v>
      </c>
      <c r="L42" s="48">
        <f>IF((G33*100)&gt;100,100,G33*100)</f>
        <v>10.699111010927256</v>
      </c>
      <c r="Q42" t="s">
        <v>351</v>
      </c>
      <c r="R42" s="67">
        <v>5294.4560000000001</v>
      </c>
      <c r="U42" s="3" t="str">
        <v>Hon Olson Stacker Stools</v>
      </c>
      <c r="V42" s="1">
        <v>5294.4560000000001</v>
      </c>
      <c r="W42" s="1">
        <v>0</v>
      </c>
      <c r="X42" s="1"/>
      <c r="Y42" s="1"/>
      <c r="Z42" s="1" t="str">
        <f t="shared" si="10"/>
        <v>Eldon Regeneration Recycled Desk Accessories, Smoke</v>
      </c>
      <c r="AA42" s="1">
        <f t="shared" si="11"/>
        <v>33.756</v>
      </c>
      <c r="AC42" s="1" t="str">
        <f t="shared" si="9"/>
        <v/>
      </c>
      <c r="AE42" s="1"/>
      <c r="AG42" s="1"/>
      <c r="AK42" t="s">
        <v>287</v>
      </c>
      <c r="AL42" s="67">
        <v>1396.442</v>
      </c>
      <c r="AM42" s="67">
        <v>71.956400000000002</v>
      </c>
      <c r="AN42" s="55">
        <v>1.4000000000000001</v>
      </c>
      <c r="AO42" s="69">
        <v>8</v>
      </c>
      <c r="AP42" s="69">
        <v>28</v>
      </c>
      <c r="AR42" s="3" t="str">
        <v>Global Armless Task Chair, Royal Blue</v>
      </c>
      <c r="AS42" s="1">
        <v>1396.442</v>
      </c>
      <c r="AT42" s="3">
        <v>71.956400000000002</v>
      </c>
      <c r="AU42" s="16">
        <v>1.4000000000000001</v>
      </c>
      <c r="AV42" s="3">
        <v>8</v>
      </c>
      <c r="AW42" s="3">
        <v>28</v>
      </c>
    </row>
    <row r="43" spans="2:55" x14ac:dyDescent="0.35">
      <c r="B43" s="68">
        <v>2017</v>
      </c>
      <c r="C43" s="67">
        <v>4196.4760999999999</v>
      </c>
      <c r="D43" s="67">
        <v>38305.425499999998</v>
      </c>
      <c r="F43" s="48" t="s">
        <v>85</v>
      </c>
      <c r="G43" s="48">
        <v>30</v>
      </c>
      <c r="I43" s="48">
        <v>20</v>
      </c>
      <c r="J43" s="48">
        <v>10</v>
      </c>
      <c r="L43" s="48">
        <v>3</v>
      </c>
      <c r="Q43" t="s">
        <v>326</v>
      </c>
      <c r="R43" s="67">
        <v>5282.424</v>
      </c>
      <c r="U43" s="3" t="str">
        <v>Hon 2090 ÒPillow SoftÓ Series Mid Back Swivel/Tilt Chairs</v>
      </c>
      <c r="V43" s="1">
        <v>5282.424</v>
      </c>
      <c r="W43" s="1">
        <v>0</v>
      </c>
      <c r="X43" s="1"/>
      <c r="Y43" s="1"/>
      <c r="Z43" s="1" t="str">
        <f t="shared" si="10"/>
        <v>Eldon 300 Class Desk Accessories, Black</v>
      </c>
      <c r="AA43" s="1">
        <f t="shared" si="11"/>
        <v>29.7</v>
      </c>
      <c r="AC43" s="1" t="str">
        <f t="shared" si="9"/>
        <v/>
      </c>
      <c r="AE43" s="1"/>
      <c r="AG43" s="1"/>
      <c r="AK43" t="s">
        <v>300</v>
      </c>
      <c r="AL43" s="67">
        <v>6008.5360000000001</v>
      </c>
      <c r="AM43" s="67">
        <v>865.08439999999996</v>
      </c>
      <c r="AN43" s="55">
        <v>1.5000000000000002</v>
      </c>
      <c r="AO43" s="69">
        <v>11</v>
      </c>
      <c r="AP43" s="69">
        <v>39</v>
      </c>
      <c r="AR43" s="3" t="str">
        <v>Global Ergonomic Managers Chair</v>
      </c>
      <c r="AS43" s="1">
        <v>6008.5360000000001</v>
      </c>
      <c r="AT43" s="3">
        <v>865.08439999999996</v>
      </c>
      <c r="AU43" s="16">
        <v>1.5000000000000002</v>
      </c>
      <c r="AV43" s="3">
        <v>11</v>
      </c>
      <c r="AW43" s="3">
        <v>39</v>
      </c>
    </row>
    <row r="44" spans="2:55" x14ac:dyDescent="0.35">
      <c r="B44" s="53" t="s">
        <v>81</v>
      </c>
      <c r="C44" s="67"/>
      <c r="D44" s="67"/>
      <c r="F44" s="48" t="s">
        <v>86</v>
      </c>
      <c r="G44" s="48">
        <v>30</v>
      </c>
      <c r="I44" s="48">
        <v>30</v>
      </c>
      <c r="J44" s="48">
        <v>10</v>
      </c>
      <c r="L44" s="48">
        <f>G47-L42+L43</f>
        <v>192.30088898907275</v>
      </c>
      <c r="Q44" t="s">
        <v>377</v>
      </c>
      <c r="R44" s="67">
        <v>5212.1120000000001</v>
      </c>
      <c r="U44" s="3" t="str">
        <v>Lifetime Advantage Folding Chairs, 4/Carton</v>
      </c>
      <c r="V44" s="1">
        <v>5212.1120000000001</v>
      </c>
      <c r="W44" s="1">
        <v>0</v>
      </c>
      <c r="X44" s="1"/>
      <c r="Y44" s="1"/>
      <c r="Z44" s="1" t="str">
        <f t="shared" si="10"/>
        <v>Nu-Dell EZ-Mount Plastic Wall Frames</v>
      </c>
      <c r="AA44" s="1">
        <f>V382</f>
        <v>19.7</v>
      </c>
      <c r="AC44" s="1" t="str">
        <f t="shared" si="9"/>
        <v/>
      </c>
      <c r="AE44" s="1"/>
      <c r="AG44" s="1"/>
      <c r="AK44" t="s">
        <v>304</v>
      </c>
      <c r="AL44" s="67">
        <v>2647.8090000000002</v>
      </c>
      <c r="AM44" s="67">
        <v>167.42160000000001</v>
      </c>
      <c r="AN44" s="55">
        <v>1.3000000000000003</v>
      </c>
      <c r="AO44" s="69">
        <v>9</v>
      </c>
      <c r="AP44" s="69">
        <v>34</v>
      </c>
      <c r="AR44" s="3" t="str">
        <v>Global Highback Leather Tilter in Burgundy</v>
      </c>
      <c r="AS44" s="1">
        <v>2647.8090000000002</v>
      </c>
      <c r="AT44" s="3">
        <v>167.42160000000001</v>
      </c>
      <c r="AU44" s="16">
        <v>1.3000000000000003</v>
      </c>
      <c r="AV44" s="3">
        <v>9</v>
      </c>
      <c r="AW44" s="3">
        <v>34</v>
      </c>
    </row>
    <row r="45" spans="2:55" x14ac:dyDescent="0.35">
      <c r="B45" s="68">
        <v>2014</v>
      </c>
      <c r="C45" s="67">
        <v>4464.5279</v>
      </c>
      <c r="D45" s="67">
        <v>47232.739000000001</v>
      </c>
      <c r="F45" s="48" t="s">
        <v>87</v>
      </c>
      <c r="G45" s="48">
        <v>20</v>
      </c>
      <c r="I45" s="48">
        <v>40</v>
      </c>
      <c r="J45" s="48">
        <v>10</v>
      </c>
      <c r="Q45" t="s">
        <v>139</v>
      </c>
      <c r="R45" s="67">
        <v>5184.0810000000001</v>
      </c>
      <c r="U45" s="3" t="str">
        <v>Atlantic Metals Mobile 4-Shelf Bookcases, Custom Colors</v>
      </c>
      <c r="V45" s="1">
        <v>5184.0810000000001</v>
      </c>
      <c r="W45" s="1">
        <v>0</v>
      </c>
      <c r="X45" s="1"/>
      <c r="Y45" s="1"/>
      <c r="AC45" s="1" t="str">
        <f t="shared" si="9"/>
        <v/>
      </c>
      <c r="AE45" s="1"/>
      <c r="AG45" s="1"/>
      <c r="AK45" t="s">
        <v>313</v>
      </c>
      <c r="AL45" s="67">
        <v>2959.2080000000001</v>
      </c>
      <c r="AM45" s="67">
        <v>505.78300000000002</v>
      </c>
      <c r="AN45" s="55">
        <v>0.7</v>
      </c>
      <c r="AO45" s="69">
        <v>6</v>
      </c>
      <c r="AP45" s="69">
        <v>23</v>
      </c>
      <c r="AR45" s="3" t="str">
        <v>Global Manager's Adjustable Task Chair, Storm</v>
      </c>
      <c r="AS45" s="1">
        <v>2959.2080000000001</v>
      </c>
      <c r="AT45" s="3">
        <v>505.78300000000002</v>
      </c>
      <c r="AU45" s="16">
        <v>0.7</v>
      </c>
      <c r="AV45" s="3">
        <v>6</v>
      </c>
      <c r="AW45" s="3">
        <v>23</v>
      </c>
    </row>
    <row r="46" spans="2:55" x14ac:dyDescent="0.35">
      <c r="B46" s="68">
        <v>2015</v>
      </c>
      <c r="C46" s="67">
        <v>5580.3244999999997</v>
      </c>
      <c r="D46" s="67">
        <v>53817.432000000001</v>
      </c>
      <c r="F46" s="48" t="s">
        <v>88</v>
      </c>
      <c r="G46" s="48">
        <v>100</v>
      </c>
      <c r="I46" s="48">
        <v>50</v>
      </c>
      <c r="J46" s="48">
        <v>10</v>
      </c>
      <c r="Q46" t="s">
        <v>178</v>
      </c>
      <c r="R46" s="67">
        <v>5098.1760000000004</v>
      </c>
      <c r="U46" s="3" t="str">
        <v>Chromcraft 48" x 96" Racetrack Double Pedestal Table</v>
      </c>
      <c r="V46" s="1">
        <v>5098.1760000000004</v>
      </c>
      <c r="W46" s="1">
        <v>0</v>
      </c>
      <c r="X46" s="1"/>
      <c r="Y46" s="1"/>
      <c r="AC46" s="3" t="str">
        <f t="shared" ref="AC46:AC68" si="12">IF(Z46=$AE$26,$AE$27,"")</f>
        <v/>
      </c>
      <c r="AE46" s="1"/>
      <c r="AG46" s="1"/>
      <c r="AK46" t="s">
        <v>319</v>
      </c>
      <c r="AL46" s="67">
        <v>1978.925</v>
      </c>
      <c r="AM46" s="67">
        <v>228.33750000000001</v>
      </c>
      <c r="AN46" s="55">
        <v>1.6000000000000003</v>
      </c>
      <c r="AO46" s="69">
        <v>10</v>
      </c>
      <c r="AP46" s="69">
        <v>39</v>
      </c>
      <c r="AR46" s="3" t="str">
        <v>Global Value Mid-Back Manager's Chair, Gray</v>
      </c>
      <c r="AS46" s="1">
        <v>1978.925</v>
      </c>
      <c r="AT46" s="3">
        <v>228.33750000000001</v>
      </c>
      <c r="AU46" s="16">
        <v>1.6000000000000003</v>
      </c>
      <c r="AV46" s="3">
        <v>10</v>
      </c>
      <c r="AW46" s="3">
        <v>39</v>
      </c>
    </row>
    <row r="47" spans="2:55" x14ac:dyDescent="0.35">
      <c r="B47" s="68">
        <v>2016</v>
      </c>
      <c r="C47" s="67">
        <v>5187.2619000000004</v>
      </c>
      <c r="D47" s="67">
        <v>46387.171999999999</v>
      </c>
      <c r="F47" s="48" t="s">
        <v>89</v>
      </c>
      <c r="G47" s="48">
        <v>200</v>
      </c>
      <c r="I47" s="48">
        <v>60</v>
      </c>
      <c r="J47" s="48">
        <v>10</v>
      </c>
      <c r="Q47" t="s">
        <v>181</v>
      </c>
      <c r="R47" s="67">
        <v>4952.6729999999998</v>
      </c>
      <c r="U47" s="3" t="str">
        <v>Chromcraft Rectangular Conference Tables</v>
      </c>
      <c r="V47" s="1">
        <v>4952.6729999999998</v>
      </c>
      <c r="W47" s="1">
        <v>0</v>
      </c>
      <c r="X47" s="1"/>
      <c r="Y47" s="1"/>
      <c r="AC47" s="3" t="str">
        <f t="shared" si="12"/>
        <v/>
      </c>
      <c r="AE47" s="1"/>
      <c r="AG47" s="1"/>
      <c r="AK47" t="s">
        <v>320</v>
      </c>
      <c r="AL47" s="67">
        <v>2204.8620000000001</v>
      </c>
      <c r="AM47" s="67">
        <v>285.47800000000001</v>
      </c>
      <c r="AN47" s="55">
        <v>1.6000000000000003</v>
      </c>
      <c r="AO47" s="69">
        <v>10</v>
      </c>
      <c r="AP47" s="69">
        <v>43</v>
      </c>
      <c r="AR47" s="3" t="str">
        <v>Global Value Steno Chair, Gray</v>
      </c>
      <c r="AS47" s="1">
        <v>2204.8620000000001</v>
      </c>
      <c r="AT47" s="3">
        <v>285.47800000000001</v>
      </c>
      <c r="AU47" s="16">
        <v>1.6000000000000003</v>
      </c>
      <c r="AV47" s="3">
        <v>10</v>
      </c>
      <c r="AW47" s="3">
        <v>43</v>
      </c>
    </row>
    <row r="48" spans="2:55" x14ac:dyDescent="0.35">
      <c r="B48" s="68">
        <v>2017</v>
      </c>
      <c r="C48" s="67">
        <v>6615.8369000000002</v>
      </c>
      <c r="D48" s="67">
        <v>60853.860999999997</v>
      </c>
      <c r="I48" s="48">
        <v>70</v>
      </c>
      <c r="J48" s="48">
        <v>10</v>
      </c>
      <c r="Q48" t="s">
        <v>418</v>
      </c>
      <c r="R48" s="67">
        <v>4886.46</v>
      </c>
      <c r="U48" s="3" t="str">
        <v>O'Sullivan 2-Door Barrister Bookcase in Odessa Pine</v>
      </c>
      <c r="V48" s="1">
        <v>4886.46</v>
      </c>
      <c r="W48" s="1">
        <v>0</v>
      </c>
      <c r="X48" s="1"/>
      <c r="Y48" s="1"/>
      <c r="AC48" s="3" t="str">
        <f t="shared" si="12"/>
        <v/>
      </c>
      <c r="AE48" s="1"/>
      <c r="AG48" s="1"/>
      <c r="AK48" t="s">
        <v>324</v>
      </c>
      <c r="AL48" s="67">
        <v>2389.125</v>
      </c>
      <c r="AM48" s="67">
        <v>336.375</v>
      </c>
      <c r="AN48" s="55">
        <v>1.3</v>
      </c>
      <c r="AO48" s="69">
        <v>8</v>
      </c>
      <c r="AP48" s="69">
        <v>34</v>
      </c>
      <c r="AR48" s="3" t="str">
        <v>Harbour Creations Steel Folding Chair</v>
      </c>
      <c r="AS48" s="1">
        <v>2389.125</v>
      </c>
      <c r="AT48" s="3">
        <v>336.375</v>
      </c>
      <c r="AU48" s="16">
        <v>1.3</v>
      </c>
      <c r="AV48" s="3">
        <v>8</v>
      </c>
      <c r="AW48" s="3">
        <v>34</v>
      </c>
    </row>
    <row r="49" spans="2:49" x14ac:dyDescent="0.35">
      <c r="B49" s="53" t="s">
        <v>82</v>
      </c>
      <c r="C49" s="67"/>
      <c r="D49" s="67"/>
      <c r="I49" s="48">
        <v>80</v>
      </c>
      <c r="J49" s="48">
        <v>10</v>
      </c>
      <c r="Q49" t="s">
        <v>325</v>
      </c>
      <c r="R49" s="67">
        <v>4770.6329999999998</v>
      </c>
      <c r="U49" s="3" t="str">
        <v>High-Back Leather Manager's Chair</v>
      </c>
      <c r="V49" s="1">
        <v>4770.6329999999998</v>
      </c>
      <c r="W49" s="1">
        <v>0</v>
      </c>
      <c r="X49" s="1"/>
      <c r="Y49" s="1"/>
      <c r="AC49" s="3" t="str">
        <f t="shared" si="12"/>
        <v/>
      </c>
      <c r="AE49" s="1"/>
      <c r="AG49" s="1"/>
      <c r="AK49" t="s">
        <v>325</v>
      </c>
      <c r="AL49" s="67">
        <v>4770.6329999999998</v>
      </c>
      <c r="AM49" s="67">
        <v>233.982</v>
      </c>
      <c r="AN49" s="55">
        <v>1.5000000000000002</v>
      </c>
      <c r="AO49" s="69">
        <v>9</v>
      </c>
      <c r="AP49" s="69">
        <v>42</v>
      </c>
      <c r="AR49" s="3" t="str">
        <v>High-Back Leather Manager's Chair</v>
      </c>
      <c r="AS49" s="1">
        <v>4770.6329999999998</v>
      </c>
      <c r="AT49" s="3">
        <v>233.982</v>
      </c>
      <c r="AU49" s="16">
        <v>1.5000000000000002</v>
      </c>
      <c r="AV49" s="3">
        <v>9</v>
      </c>
      <c r="AW49" s="3">
        <v>42</v>
      </c>
    </row>
    <row r="50" spans="2:49" x14ac:dyDescent="0.35">
      <c r="B50" s="68">
        <v>2014</v>
      </c>
      <c r="C50" s="67">
        <v>2323.7051000000001</v>
      </c>
      <c r="D50" s="67">
        <v>32909.6636</v>
      </c>
      <c r="I50" s="48">
        <v>90</v>
      </c>
      <c r="J50" s="48">
        <v>10</v>
      </c>
      <c r="Q50" t="s">
        <v>301</v>
      </c>
      <c r="R50" s="67">
        <v>4626.5820000000003</v>
      </c>
      <c r="U50" s="3" t="str">
        <v>Global Executive Mid-Back Manager's Chair</v>
      </c>
      <c r="V50" s="1">
        <v>4626.5820000000003</v>
      </c>
      <c r="W50" s="1">
        <v>0</v>
      </c>
      <c r="X50" s="1"/>
      <c r="Y50" s="1"/>
      <c r="AC50" s="3" t="str">
        <f t="shared" si="12"/>
        <v/>
      </c>
      <c r="AE50" s="1"/>
      <c r="AG50" s="1"/>
      <c r="AK50" t="s">
        <v>332</v>
      </c>
      <c r="AL50" s="67">
        <v>5906.0320000000002</v>
      </c>
      <c r="AM50" s="67">
        <v>1084.9123999999999</v>
      </c>
      <c r="AN50" s="55">
        <v>1</v>
      </c>
      <c r="AO50" s="69">
        <v>7</v>
      </c>
      <c r="AP50" s="69">
        <v>21</v>
      </c>
      <c r="AR50" s="3" t="str">
        <v>Hon 4070 Series Pagoda Round Back Stacking Chairs</v>
      </c>
      <c r="AS50" s="1">
        <v>5906.0320000000002</v>
      </c>
      <c r="AT50" s="3">
        <v>1084.9123999999999</v>
      </c>
      <c r="AU50" s="16">
        <v>1</v>
      </c>
      <c r="AV50" s="3">
        <v>7</v>
      </c>
      <c r="AW50" s="3">
        <v>21</v>
      </c>
    </row>
    <row r="51" spans="2:49" x14ac:dyDescent="0.35">
      <c r="B51" s="68">
        <v>2015</v>
      </c>
      <c r="C51" s="67">
        <v>3880.6680000000001</v>
      </c>
      <c r="D51" s="67">
        <v>35592.046999999999</v>
      </c>
      <c r="I51" s="48">
        <v>100</v>
      </c>
      <c r="J51" s="48">
        <v>10</v>
      </c>
      <c r="Q51" t="s">
        <v>220</v>
      </c>
      <c r="R51" s="67">
        <v>4619.9880000000003</v>
      </c>
      <c r="U51" s="3" t="str">
        <v>DMI Arturo Collection Mission-style Design Wood Chair</v>
      </c>
      <c r="V51" s="1">
        <v>4619.9880000000003</v>
      </c>
      <c r="W51" s="1">
        <v>0</v>
      </c>
      <c r="X51" s="1"/>
      <c r="Y51" s="1"/>
      <c r="Z51" s="1"/>
      <c r="AC51" s="3" t="str">
        <f t="shared" si="12"/>
        <v/>
      </c>
      <c r="AE51" s="1"/>
      <c r="AG51" s="1"/>
      <c r="AK51" t="s">
        <v>338</v>
      </c>
      <c r="AL51" s="67">
        <v>1686.904</v>
      </c>
      <c r="AM51" s="67">
        <v>56.99</v>
      </c>
      <c r="AN51" s="55">
        <v>0.89999999999999991</v>
      </c>
      <c r="AO51" s="69">
        <v>6</v>
      </c>
      <c r="AP51" s="69">
        <v>18</v>
      </c>
      <c r="AR51" s="3" t="str">
        <v>Hon Comfortask Task/Swivel Chairs</v>
      </c>
      <c r="AS51" s="1">
        <v>1686.904</v>
      </c>
      <c r="AT51" s="3">
        <v>56.99</v>
      </c>
      <c r="AU51" s="16">
        <v>0.89999999999999991</v>
      </c>
      <c r="AV51" s="3">
        <v>6</v>
      </c>
      <c r="AW51" s="3">
        <v>18</v>
      </c>
    </row>
    <row r="52" spans="2:49" x14ac:dyDescent="0.35">
      <c r="B52" s="68">
        <v>2016</v>
      </c>
      <c r="C52" s="67">
        <v>5612.7690000000002</v>
      </c>
      <c r="D52" s="67">
        <v>50773.182000000001</v>
      </c>
      <c r="I52" s="48">
        <v>0</v>
      </c>
      <c r="J52" s="48">
        <v>100</v>
      </c>
      <c r="Q52" t="s">
        <v>371</v>
      </c>
      <c r="R52" s="67">
        <v>4552.6409999999996</v>
      </c>
      <c r="U52" s="3" t="str">
        <v>KI Adjustable-Height Table</v>
      </c>
      <c r="V52" s="1">
        <v>4552.6409999999996</v>
      </c>
      <c r="W52" s="1">
        <v>0</v>
      </c>
      <c r="X52" s="1"/>
      <c r="Y52" s="1"/>
      <c r="Z52" s="1"/>
      <c r="AC52" s="3" t="str">
        <f t="shared" si="12"/>
        <v/>
      </c>
      <c r="AE52" s="1"/>
      <c r="AG52" s="1"/>
      <c r="AK52" t="s">
        <v>344</v>
      </c>
      <c r="AL52" s="67">
        <v>1570.0776000000001</v>
      </c>
      <c r="AM52" s="67">
        <v>184.548</v>
      </c>
      <c r="AN52" s="55">
        <v>1.22</v>
      </c>
      <c r="AO52" s="69">
        <v>5</v>
      </c>
      <c r="AP52" s="69">
        <v>30</v>
      </c>
      <c r="AR52" s="3" t="str">
        <v>Hon Metal Bookcases, Black</v>
      </c>
      <c r="AS52" s="1">
        <v>1570.0776000000001</v>
      </c>
      <c r="AT52" s="3">
        <v>184.548</v>
      </c>
      <c r="AU52" s="16">
        <v>1.22</v>
      </c>
      <c r="AV52" s="3">
        <v>5</v>
      </c>
      <c r="AW52" s="3">
        <v>30</v>
      </c>
    </row>
    <row r="53" spans="2:49" x14ac:dyDescent="0.35">
      <c r="B53" s="68">
        <v>2017</v>
      </c>
      <c r="C53" s="67">
        <v>4866.1737999999996</v>
      </c>
      <c r="D53" s="67">
        <v>44522.271200000003</v>
      </c>
      <c r="Q53" t="s">
        <v>152</v>
      </c>
      <c r="R53" s="67">
        <v>4544.9250000000002</v>
      </c>
      <c r="U53" s="3" t="str">
        <v>Bevis Round Bullnose 29" High Table Top</v>
      </c>
      <c r="V53" s="1">
        <v>4544.9250000000002</v>
      </c>
      <c r="W53" s="1">
        <v>0</v>
      </c>
      <c r="X53" s="1"/>
      <c r="Y53" s="1"/>
      <c r="Z53" s="1"/>
      <c r="AC53" s="3" t="str">
        <f t="shared" si="12"/>
        <v/>
      </c>
      <c r="AE53" s="1"/>
      <c r="AG53" s="1"/>
      <c r="AK53" t="s">
        <v>349</v>
      </c>
      <c r="AL53" s="67">
        <v>3775.6469999999999</v>
      </c>
      <c r="AM53" s="67">
        <v>541.654</v>
      </c>
      <c r="AN53" s="55">
        <v>1</v>
      </c>
      <c r="AO53" s="69">
        <v>5</v>
      </c>
      <c r="AP53" s="69">
        <v>29</v>
      </c>
      <c r="AR53" s="3" t="str">
        <v>Hon Non-Folding Utility Tables</v>
      </c>
      <c r="AS53" s="1">
        <v>3775.6469999999999</v>
      </c>
      <c r="AT53" s="3">
        <v>541.654</v>
      </c>
      <c r="AU53" s="16">
        <v>1</v>
      </c>
      <c r="AV53" s="3">
        <v>5</v>
      </c>
      <c r="AW53" s="3">
        <v>29</v>
      </c>
    </row>
    <row r="54" spans="2:49" x14ac:dyDescent="0.35">
      <c r="B54" s="53" t="s">
        <v>43</v>
      </c>
      <c r="C54" s="67">
        <v>79387.381800000003</v>
      </c>
      <c r="D54" s="67">
        <v>741999.7953</v>
      </c>
      <c r="E54" s="59" t="s">
        <v>107</v>
      </c>
      <c r="F54" s="60"/>
      <c r="I54" s="59" t="s">
        <v>512</v>
      </c>
      <c r="J54" s="60"/>
      <c r="Q54" t="s">
        <v>433</v>
      </c>
      <c r="R54" s="67">
        <v>4446.1750000000002</v>
      </c>
      <c r="U54" s="3" t="str">
        <v>Riverside Furniture Oval Coffee Table, Oval End Table, End Table with Drawer</v>
      </c>
      <c r="V54" s="1">
        <v>4446.1750000000002</v>
      </c>
      <c r="W54" s="1">
        <v>0</v>
      </c>
      <c r="X54" s="1"/>
      <c r="Y54" s="1"/>
      <c r="Z54" s="1"/>
      <c r="AC54" s="3" t="str">
        <f t="shared" si="12"/>
        <v/>
      </c>
      <c r="AE54" s="1"/>
      <c r="AG54" s="1"/>
      <c r="AK54" t="s">
        <v>350</v>
      </c>
      <c r="AL54" s="67">
        <v>5427.99</v>
      </c>
      <c r="AM54" s="67">
        <v>1292.1264000000001</v>
      </c>
      <c r="AN54" s="55">
        <v>0.30000000000000004</v>
      </c>
      <c r="AO54" s="69">
        <v>4</v>
      </c>
      <c r="AP54" s="69">
        <v>22</v>
      </c>
      <c r="AR54" s="3" t="str">
        <v>Hon Olson Stacker Chairs</v>
      </c>
      <c r="AS54" s="1">
        <v>5427.99</v>
      </c>
      <c r="AT54" s="3">
        <v>1292.1264000000001</v>
      </c>
      <c r="AU54" s="16">
        <v>0.30000000000000004</v>
      </c>
      <c r="AV54" s="3">
        <v>4</v>
      </c>
      <c r="AW54" s="3">
        <v>22</v>
      </c>
    </row>
    <row r="55" spans="2:49" x14ac:dyDescent="0.35">
      <c r="E55" s="52" t="s">
        <v>1</v>
      </c>
      <c r="F55" t="s">
        <v>60</v>
      </c>
      <c r="I55" s="52" t="s">
        <v>1</v>
      </c>
      <c r="J55" t="s">
        <v>60</v>
      </c>
      <c r="Q55" t="s">
        <v>292</v>
      </c>
      <c r="R55" s="67">
        <v>4420.0559999999996</v>
      </c>
      <c r="U55" s="3" t="str">
        <v>Global Commerce Series Low-Back Swivel/Tilt Chairs</v>
      </c>
      <c r="V55" s="1">
        <v>4420.0559999999996</v>
      </c>
      <c r="W55" s="1">
        <v>0</v>
      </c>
      <c r="X55" s="1"/>
      <c r="Y55" s="1"/>
      <c r="Z55" s="1"/>
      <c r="AC55" s="3" t="str">
        <f t="shared" si="12"/>
        <v/>
      </c>
      <c r="AE55" s="1"/>
      <c r="AG55" s="1"/>
      <c r="AK55" t="s">
        <v>359</v>
      </c>
      <c r="AL55" s="67">
        <v>1184.232</v>
      </c>
      <c r="AM55" s="67">
        <v>468.49880000000002</v>
      </c>
      <c r="AN55" s="55">
        <v>0.6</v>
      </c>
      <c r="AO55" s="69">
        <v>6</v>
      </c>
      <c r="AP55" s="69">
        <v>24</v>
      </c>
      <c r="AR55" s="3" t="str">
        <v>Howard Miller 11-1/2" Diameter Ridgewood Wall Clock</v>
      </c>
      <c r="AS55" s="1">
        <v>1184.232</v>
      </c>
      <c r="AT55" s="3">
        <v>468.49880000000002</v>
      </c>
      <c r="AU55" s="16">
        <v>0.6</v>
      </c>
      <c r="AV55" s="3">
        <v>6</v>
      </c>
      <c r="AW55" s="3">
        <v>24</v>
      </c>
    </row>
    <row r="56" spans="2:49" ht="21" x14ac:dyDescent="0.5">
      <c r="E56" s="53" t="s">
        <v>28</v>
      </c>
      <c r="F56" s="67">
        <v>39313.706400000003</v>
      </c>
      <c r="G56" s="49">
        <f>F56/$F$59</f>
        <v>0.49521354034628212</v>
      </c>
      <c r="I56" s="53" t="s">
        <v>109</v>
      </c>
      <c r="J56" s="67">
        <v>36471.007599999997</v>
      </c>
      <c r="K56" s="50">
        <f>J56/$J$60</f>
        <v>0.45940559788054375</v>
      </c>
      <c r="Q56" t="s">
        <v>353</v>
      </c>
      <c r="R56" s="67">
        <v>4334.8275000000003</v>
      </c>
      <c r="U56" s="3" t="str">
        <v>Hon Practical Foundations 30 x 60 Training Table, Light Gray/Charcoal</v>
      </c>
      <c r="V56" s="1">
        <v>4334.8275000000003</v>
      </c>
      <c r="W56" s="1">
        <v>0</v>
      </c>
      <c r="X56" s="1"/>
      <c r="Y56" s="1"/>
      <c r="Z56" s="1"/>
      <c r="AC56" s="3" t="str">
        <f t="shared" si="12"/>
        <v/>
      </c>
      <c r="AE56" s="1"/>
      <c r="AG56" s="1"/>
      <c r="AK56" t="s">
        <v>362</v>
      </c>
      <c r="AL56" s="67">
        <v>1042.068</v>
      </c>
      <c r="AM56" s="67">
        <v>321.06959999999998</v>
      </c>
      <c r="AN56" s="55">
        <v>1</v>
      </c>
      <c r="AO56" s="69">
        <v>6</v>
      </c>
      <c r="AP56" s="69">
        <v>27</v>
      </c>
      <c r="AR56" s="3" t="str">
        <v>Howard Miller 13" Diameter Goldtone Round Wall Clock</v>
      </c>
      <c r="AS56" s="1">
        <v>1042.068</v>
      </c>
      <c r="AT56" s="3">
        <v>321.06959999999998</v>
      </c>
      <c r="AU56" s="16">
        <v>1</v>
      </c>
      <c r="AV56" s="3">
        <v>6</v>
      </c>
      <c r="AW56" s="3">
        <v>27</v>
      </c>
    </row>
    <row r="57" spans="2:49" ht="21" x14ac:dyDescent="0.5">
      <c r="E57" s="53" t="s">
        <v>29</v>
      </c>
      <c r="F57" s="67">
        <v>25854.109899999999</v>
      </c>
      <c r="G57" s="49">
        <f>F57/$F$59</f>
        <v>0.32567026791655695</v>
      </c>
      <c r="I57" s="53" t="s">
        <v>110</v>
      </c>
      <c r="J57" s="67">
        <v>19550.057000000001</v>
      </c>
      <c r="K57" s="50">
        <f>J57/$J$60</f>
        <v>0.24626151608390742</v>
      </c>
      <c r="Q57" t="s">
        <v>147</v>
      </c>
      <c r="R57" s="67">
        <v>4332.2520000000004</v>
      </c>
      <c r="U57" s="3" t="str">
        <v>Bevis 36 x 72 Conference Tables</v>
      </c>
      <c r="V57" s="1">
        <v>4332.2520000000004</v>
      </c>
      <c r="W57" s="1">
        <v>0</v>
      </c>
      <c r="X57" s="1"/>
      <c r="Y57" s="1"/>
      <c r="Z57" s="1"/>
      <c r="AC57" s="3" t="str">
        <f t="shared" si="12"/>
        <v/>
      </c>
      <c r="AE57" s="1"/>
      <c r="AG57" s="1"/>
      <c r="AK57" t="s">
        <v>365</v>
      </c>
      <c r="AL57" s="67">
        <v>1324.8</v>
      </c>
      <c r="AM57" s="67">
        <v>279.45</v>
      </c>
      <c r="AN57" s="55">
        <v>1.2000000000000002</v>
      </c>
      <c r="AO57" s="69">
        <v>9</v>
      </c>
      <c r="AP57" s="69">
        <v>31</v>
      </c>
      <c r="AR57" s="3" t="str">
        <v>Howard Miller 13-3/4" Diameter Brushed Chrome Round Wall Clock</v>
      </c>
      <c r="AS57" s="1">
        <v>1324.8</v>
      </c>
      <c r="AT57" s="3">
        <v>279.45</v>
      </c>
      <c r="AU57" s="16">
        <v>1.2000000000000002</v>
      </c>
      <c r="AV57" s="3">
        <v>9</v>
      </c>
      <c r="AW57" s="3">
        <v>31</v>
      </c>
    </row>
    <row r="58" spans="2:49" ht="21" x14ac:dyDescent="0.5">
      <c r="E58" s="53" t="s">
        <v>30</v>
      </c>
      <c r="F58" s="67">
        <v>14219.565500000001</v>
      </c>
      <c r="G58" s="49">
        <f>F58/$F$59</f>
        <v>0.17911619173716092</v>
      </c>
      <c r="I58" s="53" t="s">
        <v>111</v>
      </c>
      <c r="J58" s="67">
        <v>14686.6672</v>
      </c>
      <c r="K58" s="50">
        <f>J58/$J$60</f>
        <v>0.18500001973865321</v>
      </c>
      <c r="Q58" t="s">
        <v>179</v>
      </c>
      <c r="R58" s="67">
        <v>4297.6440000000002</v>
      </c>
      <c r="U58" s="3" t="str">
        <v>Chromcraft Bull-Nose Wood 48" x 96" Rectangular Conference Tables</v>
      </c>
      <c r="V58" s="1">
        <v>4297.6440000000002</v>
      </c>
      <c r="W58" s="1">
        <v>0</v>
      </c>
      <c r="X58" s="1"/>
      <c r="Y58" s="1"/>
      <c r="Z58" s="1"/>
      <c r="AC58" s="3" t="str">
        <f t="shared" si="12"/>
        <v/>
      </c>
      <c r="AE58" s="1"/>
      <c r="AG58" s="1"/>
      <c r="AK58" t="s">
        <v>372</v>
      </c>
      <c r="AL58" s="67">
        <v>2140.8780000000002</v>
      </c>
      <c r="AM58" s="67">
        <v>45.369599999999998</v>
      </c>
      <c r="AN58" s="55">
        <v>2.5999999999999996</v>
      </c>
      <c r="AO58" s="69">
        <v>8</v>
      </c>
      <c r="AP58" s="69">
        <v>44</v>
      </c>
      <c r="AR58" s="3" t="str">
        <v>KI Conference Tables</v>
      </c>
      <c r="AS58" s="1">
        <v>2140.8780000000002</v>
      </c>
      <c r="AT58" s="3">
        <v>45.369599999999998</v>
      </c>
      <c r="AU58" s="16">
        <v>2.5999999999999996</v>
      </c>
      <c r="AV58" s="3">
        <v>8</v>
      </c>
      <c r="AW58" s="3">
        <v>44</v>
      </c>
    </row>
    <row r="59" spans="2:49" ht="21" x14ac:dyDescent="0.5">
      <c r="E59" s="53" t="s">
        <v>43</v>
      </c>
      <c r="F59" s="67">
        <v>79387.381800000003</v>
      </c>
      <c r="I59" s="53" t="s">
        <v>108</v>
      </c>
      <c r="J59" s="67">
        <v>8679.65</v>
      </c>
      <c r="K59" s="50">
        <f>J59/$J$60</f>
        <v>0.10933286629689555</v>
      </c>
      <c r="Q59" t="s">
        <v>412</v>
      </c>
      <c r="R59" s="67">
        <v>4185.4799999999996</v>
      </c>
      <c r="U59" s="3" t="str">
        <v>Office Star - Mid Back Dual function Ergonomic High Back Chair with 2-Way Adjustable Arms</v>
      </c>
      <c r="V59" s="1">
        <v>4185.4799999999996</v>
      </c>
      <c r="W59" s="1">
        <v>0</v>
      </c>
      <c r="X59" s="1"/>
      <c r="Y59" s="1"/>
      <c r="Z59" s="1"/>
      <c r="AC59" s="3" t="str">
        <f t="shared" si="12"/>
        <v/>
      </c>
      <c r="AE59" s="1"/>
      <c r="AG59" s="1"/>
      <c r="AK59" t="s">
        <v>376</v>
      </c>
      <c r="AL59" s="67">
        <v>2298.114</v>
      </c>
      <c r="AM59" s="67">
        <v>97.063199999999995</v>
      </c>
      <c r="AN59" s="55">
        <v>1.6</v>
      </c>
      <c r="AO59" s="69">
        <v>9</v>
      </c>
      <c r="AP59" s="69">
        <v>39</v>
      </c>
      <c r="AR59" s="3" t="str">
        <v>Lesro Sheffield Collection Coffee Table, End Table, Center Table, Corner Table</v>
      </c>
      <c r="AS59" s="1">
        <v>2298.114</v>
      </c>
      <c r="AT59" s="3">
        <v>97.063199999999995</v>
      </c>
      <c r="AU59" s="16">
        <v>1.6</v>
      </c>
      <c r="AV59" s="3">
        <v>9</v>
      </c>
      <c r="AW59" s="3">
        <v>39</v>
      </c>
    </row>
    <row r="60" spans="2:49" x14ac:dyDescent="0.35">
      <c r="I60" s="53" t="s">
        <v>43</v>
      </c>
      <c r="J60" s="67">
        <v>79387.381800000003</v>
      </c>
      <c r="Q60" t="s">
        <v>321</v>
      </c>
      <c r="R60" s="67">
        <v>4166.884</v>
      </c>
      <c r="U60" s="3" t="str">
        <v>Global Wood Trimmed Manager's Task Chair, Khaki</v>
      </c>
      <c r="V60" s="1">
        <v>4166.884</v>
      </c>
      <c r="W60" s="1">
        <v>0</v>
      </c>
      <c r="X60" s="1"/>
      <c r="Y60" s="1"/>
      <c r="Z60" s="1"/>
      <c r="AC60" s="3" t="str">
        <f t="shared" si="12"/>
        <v/>
      </c>
      <c r="AE60" s="1"/>
      <c r="AG60" s="1"/>
      <c r="AK60" t="s">
        <v>380</v>
      </c>
      <c r="AL60" s="67">
        <v>115.19199999999999</v>
      </c>
      <c r="AM60" s="67">
        <v>48.787199999999999</v>
      </c>
      <c r="AN60" s="55">
        <v>1.2</v>
      </c>
      <c r="AO60" s="69">
        <v>10</v>
      </c>
      <c r="AP60" s="69">
        <v>44</v>
      </c>
      <c r="AR60" s="3" t="str">
        <v>Longer-Life Soft White Bulbs</v>
      </c>
      <c r="AS60" s="1">
        <v>115.19199999999999</v>
      </c>
      <c r="AT60" s="3">
        <v>48.787199999999999</v>
      </c>
      <c r="AU60" s="16">
        <v>1.2</v>
      </c>
      <c r="AV60" s="3">
        <v>10</v>
      </c>
      <c r="AW60" s="3">
        <v>44</v>
      </c>
    </row>
    <row r="61" spans="2:49" x14ac:dyDescent="0.35">
      <c r="Q61" t="s">
        <v>405</v>
      </c>
      <c r="R61" s="67">
        <v>3989.7339999999999</v>
      </c>
      <c r="U61" s="3" t="str">
        <v>Office Star - Contemporary Swivel Chair with Padded Adjustable Arms and Flex Back</v>
      </c>
      <c r="V61" s="1">
        <v>3989.7339999999999</v>
      </c>
      <c r="W61" s="1">
        <v>0</v>
      </c>
      <c r="X61" s="1"/>
      <c r="Y61" s="1"/>
      <c r="Z61" s="1"/>
      <c r="AC61" s="3" t="str">
        <f t="shared" si="12"/>
        <v/>
      </c>
      <c r="AE61" s="1"/>
      <c r="AG61" s="1"/>
      <c r="AK61" t="s">
        <v>395</v>
      </c>
      <c r="AL61" s="67">
        <v>1890.38</v>
      </c>
      <c r="AM61" s="67">
        <v>27.440999999999999</v>
      </c>
      <c r="AN61" s="55">
        <v>1.7</v>
      </c>
      <c r="AO61" s="69">
        <v>9</v>
      </c>
      <c r="AP61" s="69">
        <v>39</v>
      </c>
      <c r="AR61" s="3" t="str">
        <v>Novimex Fabric Task Chair</v>
      </c>
      <c r="AS61" s="1">
        <v>1890.38</v>
      </c>
      <c r="AT61" s="3">
        <v>27.440999999999999</v>
      </c>
      <c r="AU61" s="16">
        <v>1.7</v>
      </c>
      <c r="AV61" s="3">
        <v>9</v>
      </c>
      <c r="AW61" s="3">
        <v>39</v>
      </c>
    </row>
    <row r="62" spans="2:49" x14ac:dyDescent="0.35">
      <c r="Q62" t="s">
        <v>354</v>
      </c>
      <c r="R62" s="67">
        <v>3963.9009999999998</v>
      </c>
      <c r="U62" s="3" t="str">
        <v>Hon Racetrack Conference Tables</v>
      </c>
      <c r="V62" s="1">
        <v>3963.9009999999998</v>
      </c>
      <c r="W62" s="1">
        <v>0</v>
      </c>
      <c r="X62" s="1"/>
      <c r="Y62" s="1"/>
      <c r="Z62" s="1"/>
      <c r="AC62" s="3" t="str">
        <f t="shared" si="12"/>
        <v/>
      </c>
      <c r="AE62" s="1"/>
      <c r="AG62" s="1"/>
      <c r="AK62" t="s">
        <v>397</v>
      </c>
      <c r="AL62" s="67">
        <v>2913.9140000000002</v>
      </c>
      <c r="AM62" s="67">
        <v>66.431200000000004</v>
      </c>
      <c r="AN62" s="55">
        <v>1.6</v>
      </c>
      <c r="AO62" s="69">
        <v>8</v>
      </c>
      <c r="AP62" s="69">
        <v>25</v>
      </c>
      <c r="AR62" s="3" t="str">
        <v>Novimex Swivel Fabric Task Chair</v>
      </c>
      <c r="AS62" s="1">
        <v>2913.9140000000002</v>
      </c>
      <c r="AT62" s="3">
        <v>66.431200000000004</v>
      </c>
      <c r="AU62" s="16">
        <v>1.6</v>
      </c>
      <c r="AV62" s="3">
        <v>8</v>
      </c>
      <c r="AW62" s="3">
        <v>25</v>
      </c>
    </row>
    <row r="63" spans="2:49" x14ac:dyDescent="0.35">
      <c r="Q63" t="s">
        <v>286</v>
      </c>
      <c r="R63" s="67">
        <v>3955.6759999999999</v>
      </c>
      <c r="U63" s="3" t="str">
        <v>Global Airflow Leather Mesh Back Chair, Black</v>
      </c>
      <c r="V63" s="1">
        <v>3955.6759999999999</v>
      </c>
      <c r="W63" s="1">
        <v>0</v>
      </c>
      <c r="X63" s="1"/>
      <c r="Y63" s="1"/>
      <c r="Z63" s="1"/>
      <c r="AC63" s="3" t="str">
        <f t="shared" si="12"/>
        <v/>
      </c>
      <c r="AE63" s="1"/>
      <c r="AG63" s="1"/>
      <c r="AK63" t="s">
        <v>400</v>
      </c>
      <c r="AL63" s="67">
        <v>19.7</v>
      </c>
      <c r="AM63" s="67">
        <v>4.7279999999999998</v>
      </c>
      <c r="AN63" s="55">
        <v>0.6</v>
      </c>
      <c r="AO63" s="69">
        <v>2</v>
      </c>
      <c r="AP63" s="69">
        <v>8</v>
      </c>
      <c r="AR63" s="3" t="str">
        <v>Nu-Dell EZ-Mount Plastic Wall Frames</v>
      </c>
      <c r="AS63" s="1">
        <v>19.7</v>
      </c>
      <c r="AT63" s="3">
        <v>4.7279999999999998</v>
      </c>
      <c r="AU63" s="16">
        <v>0.6</v>
      </c>
      <c r="AV63" s="3">
        <v>2</v>
      </c>
      <c r="AW63" s="3">
        <v>8</v>
      </c>
    </row>
    <row r="64" spans="2:49" x14ac:dyDescent="0.35">
      <c r="Q64" t="s">
        <v>384</v>
      </c>
      <c r="R64" s="67">
        <v>3861.056</v>
      </c>
      <c r="U64" s="3" t="str">
        <v>Luxo Professional Fluorescent Magnifier Lamp with Clamp-Mount Base</v>
      </c>
      <c r="V64" s="1">
        <v>3861.056</v>
      </c>
      <c r="W64" s="1">
        <v>0</v>
      </c>
      <c r="X64" s="1"/>
      <c r="Y64" s="1"/>
      <c r="Z64" s="1"/>
      <c r="AC64" s="3" t="str">
        <f t="shared" si="12"/>
        <v/>
      </c>
      <c r="AE64" s="1"/>
      <c r="AG64" s="1"/>
      <c r="AK64" t="s">
        <v>405</v>
      </c>
      <c r="AL64" s="67">
        <v>3989.7339999999999</v>
      </c>
      <c r="AM64" s="67">
        <v>451.13600000000002</v>
      </c>
      <c r="AN64" s="55">
        <v>1.1000000000000001</v>
      </c>
      <c r="AO64" s="69">
        <v>7</v>
      </c>
      <c r="AP64" s="69">
        <v>32</v>
      </c>
      <c r="AR64" s="3" t="str">
        <v>Office Star - Contemporary Swivel Chair with Padded Adjustable Arms and Flex Back</v>
      </c>
      <c r="AS64" s="1">
        <v>3989.7339999999999</v>
      </c>
      <c r="AT64" s="3">
        <v>451.13600000000002</v>
      </c>
      <c r="AU64" s="16">
        <v>1.1000000000000001</v>
      </c>
      <c r="AV64" s="3">
        <v>7</v>
      </c>
      <c r="AW64" s="3">
        <v>32</v>
      </c>
    </row>
    <row r="65" spans="17:49" x14ac:dyDescent="0.35">
      <c r="Q65" t="s">
        <v>349</v>
      </c>
      <c r="R65" s="67">
        <v>3775.6469999999999</v>
      </c>
      <c r="U65" s="3" t="str">
        <v>Hon Non-Folding Utility Tables</v>
      </c>
      <c r="V65" s="1">
        <v>3775.6469999999999</v>
      </c>
      <c r="W65" s="1">
        <v>0</v>
      </c>
      <c r="X65" s="1"/>
      <c r="Y65" s="1"/>
      <c r="Z65" s="1"/>
      <c r="AC65" s="3" t="str">
        <f t="shared" si="12"/>
        <v/>
      </c>
      <c r="AE65" s="1"/>
      <c r="AG65" s="1"/>
      <c r="AK65" t="s">
        <v>410</v>
      </c>
      <c r="AL65" s="67">
        <v>1311.876</v>
      </c>
      <c r="AM65" s="67">
        <v>40.49</v>
      </c>
      <c r="AN65" s="55">
        <v>1.2</v>
      </c>
      <c r="AO65" s="69">
        <v>7</v>
      </c>
      <c r="AP65" s="69">
        <v>19</v>
      </c>
      <c r="AR65" s="3" t="str">
        <v>Office Star - Ergonomically Designed Knee Chair</v>
      </c>
      <c r="AS65" s="1">
        <v>1311.876</v>
      </c>
      <c r="AT65" s="3">
        <v>40.49</v>
      </c>
      <c r="AU65" s="16">
        <v>1.2</v>
      </c>
      <c r="AV65" s="3">
        <v>7</v>
      </c>
      <c r="AW65" s="3">
        <v>19</v>
      </c>
    </row>
    <row r="66" spans="17:49" x14ac:dyDescent="0.35">
      <c r="Q66" t="s">
        <v>444</v>
      </c>
      <c r="R66" s="67">
        <v>3739.1149999999998</v>
      </c>
      <c r="U66" s="3" t="str">
        <v>SAFCO PlanMaster Heigh-Adjustable Drafting Table Base, 43w x 30d x 30-37h, Black</v>
      </c>
      <c r="V66" s="1">
        <v>3739.1149999999998</v>
      </c>
      <c r="W66" s="1">
        <v>0</v>
      </c>
      <c r="X66" s="1"/>
      <c r="Y66" s="1"/>
      <c r="Z66" s="1"/>
      <c r="AC66" s="3" t="str">
        <f t="shared" si="12"/>
        <v/>
      </c>
      <c r="AE66" s="1"/>
      <c r="AG66" s="1"/>
      <c r="AK66" t="s">
        <v>411</v>
      </c>
      <c r="AL66" s="67">
        <v>2200.4639999999999</v>
      </c>
      <c r="AM66" s="67">
        <v>87.756600000000006</v>
      </c>
      <c r="AN66" s="55">
        <v>1.0000000000000002</v>
      </c>
      <c r="AO66" s="69">
        <v>7</v>
      </c>
      <c r="AP66" s="69">
        <v>20</v>
      </c>
      <c r="AR66" s="3" t="str">
        <v>Office Star - Mesh Screen back chair with Vinyl seat</v>
      </c>
      <c r="AS66" s="1">
        <v>2200.4639999999999</v>
      </c>
      <c r="AT66" s="3">
        <v>87.756600000000006</v>
      </c>
      <c r="AU66" s="16">
        <v>1.0000000000000002</v>
      </c>
      <c r="AV66" s="3">
        <v>7</v>
      </c>
      <c r="AW66" s="3">
        <v>20</v>
      </c>
    </row>
    <row r="67" spans="17:49" x14ac:dyDescent="0.35">
      <c r="Q67" t="s">
        <v>408</v>
      </c>
      <c r="R67" s="67">
        <v>3680.538</v>
      </c>
      <c r="U67" s="3" t="str">
        <v>Office Star - Contemporary Task Swivel chair with Loop Arms, Charcoal</v>
      </c>
      <c r="V67" s="1">
        <v>3680.538</v>
      </c>
      <c r="W67" s="1">
        <v>0</v>
      </c>
      <c r="X67" s="1"/>
      <c r="Y67" s="1"/>
      <c r="Z67" s="1"/>
      <c r="AC67" s="3" t="str">
        <f t="shared" si="12"/>
        <v/>
      </c>
      <c r="AE67" s="1"/>
      <c r="AG67" s="1"/>
      <c r="AK67" t="s">
        <v>416</v>
      </c>
      <c r="AL67" s="67">
        <v>1775.68</v>
      </c>
      <c r="AM67" s="67">
        <v>24.415600000000001</v>
      </c>
      <c r="AN67" s="55">
        <v>1.5</v>
      </c>
      <c r="AO67" s="69">
        <v>7</v>
      </c>
      <c r="AP67" s="69">
        <v>21</v>
      </c>
      <c r="AR67" s="3" t="str">
        <v>Office Star Flex Back Scooter Chair with White Frame</v>
      </c>
      <c r="AS67" s="1">
        <v>1775.68</v>
      </c>
      <c r="AT67" s="3">
        <v>24.415600000000001</v>
      </c>
      <c r="AU67" s="16">
        <v>1.5</v>
      </c>
      <c r="AV67" s="3">
        <v>7</v>
      </c>
      <c r="AW67" s="3">
        <v>21</v>
      </c>
    </row>
    <row r="68" spans="17:49" x14ac:dyDescent="0.35">
      <c r="Q68" t="s">
        <v>463</v>
      </c>
      <c r="R68" s="67">
        <v>3641.2739999999999</v>
      </c>
      <c r="U68" s="3" t="str">
        <v>Situations Contoured Folding Chairs, 4/Set</v>
      </c>
      <c r="V68" s="1">
        <v>3641.2739999999999</v>
      </c>
      <c r="W68" s="1">
        <v>0</v>
      </c>
      <c r="X68" s="1"/>
      <c r="Y68" s="1"/>
      <c r="Z68" s="1"/>
      <c r="AC68" s="3" t="str">
        <f t="shared" si="12"/>
        <v/>
      </c>
      <c r="AE68" s="1"/>
      <c r="AG68" s="1"/>
      <c r="AK68" t="s">
        <v>417</v>
      </c>
      <c r="AL68" s="67">
        <v>82.831999999999994</v>
      </c>
      <c r="AM68" s="67">
        <v>28.857600000000001</v>
      </c>
      <c r="AN68" s="55">
        <v>1</v>
      </c>
      <c r="AO68" s="69">
        <v>6</v>
      </c>
      <c r="AP68" s="69">
        <v>30</v>
      </c>
      <c r="AR68" s="3" t="str">
        <v>OIC Stacking Trays</v>
      </c>
      <c r="AS68" s="1">
        <v>82.831999999999994</v>
      </c>
      <c r="AT68" s="3">
        <v>28.857600000000001</v>
      </c>
      <c r="AU68" s="16">
        <v>1</v>
      </c>
      <c r="AV68" s="3">
        <v>6</v>
      </c>
      <c r="AW68" s="3">
        <v>30</v>
      </c>
    </row>
    <row r="69" spans="17:49" x14ac:dyDescent="0.35">
      <c r="Q69" t="s">
        <v>169</v>
      </c>
      <c r="R69" s="67">
        <v>3626.0056</v>
      </c>
      <c r="U69" s="3" t="str">
        <v>Bush Heritage Pine Collection 5-Shelf Bookcase, Albany Pine Finish, *Special Order</v>
      </c>
      <c r="V69" s="1">
        <v>3626.0056</v>
      </c>
      <c r="W69" s="1">
        <v>0</v>
      </c>
      <c r="X69" s="1"/>
      <c r="Y69" s="1"/>
      <c r="Z69" s="1"/>
      <c r="AC69" s="3" t="str">
        <f t="shared" ref="AC69:AC132" si="13">IF(Z69=$AE$26,$AE$27,"")</f>
        <v/>
      </c>
      <c r="AE69" s="1"/>
      <c r="AG69" s="1"/>
      <c r="AK69" t="s">
        <v>430</v>
      </c>
      <c r="AL69" s="67">
        <v>2946.3667999999998</v>
      </c>
      <c r="AM69" s="67">
        <v>0</v>
      </c>
      <c r="AN69" s="55">
        <v>1.6600000000000001</v>
      </c>
      <c r="AO69" s="69">
        <v>5</v>
      </c>
      <c r="AP69" s="69">
        <v>22</v>
      </c>
      <c r="AR69" s="3" t="str">
        <v>O'Sullivan Plantations 2-Door Library in Landvery Oak</v>
      </c>
      <c r="AS69" s="1">
        <v>2946.3667999999998</v>
      </c>
      <c r="AT69" s="3">
        <v>0</v>
      </c>
      <c r="AU69" s="16">
        <v>1.6600000000000001</v>
      </c>
      <c r="AV69" s="3">
        <v>5</v>
      </c>
      <c r="AW69" s="3">
        <v>22</v>
      </c>
    </row>
    <row r="70" spans="17:49" x14ac:dyDescent="0.35">
      <c r="Q70" t="s">
        <v>168</v>
      </c>
      <c r="R70" s="67">
        <v>3603.288</v>
      </c>
      <c r="U70" s="3" t="str">
        <v>Bush Cubix Conference Tables, Fully Assembled</v>
      </c>
      <c r="V70" s="1">
        <v>3603.288</v>
      </c>
      <c r="W70" s="1">
        <v>0</v>
      </c>
      <c r="X70" s="1"/>
      <c r="Y70" s="1"/>
      <c r="Z70" s="1"/>
      <c r="AC70" s="3" t="str">
        <f t="shared" si="13"/>
        <v/>
      </c>
      <c r="AE70" s="1"/>
      <c r="AG70" s="1"/>
      <c r="AK70" t="s">
        <v>433</v>
      </c>
      <c r="AL70" s="67">
        <v>4446.1750000000002</v>
      </c>
      <c r="AM70" s="67">
        <v>63.106999999999999</v>
      </c>
      <c r="AN70" s="55">
        <v>1.5000000000000002</v>
      </c>
      <c r="AO70" s="69">
        <v>5</v>
      </c>
      <c r="AP70" s="69">
        <v>25</v>
      </c>
      <c r="AR70" s="3" t="str">
        <v>Riverside Furniture Oval Coffee Table, Oval End Table, End Table with Drawer</v>
      </c>
      <c r="AS70" s="1">
        <v>4446.1750000000002</v>
      </c>
      <c r="AT70" s="3">
        <v>63.106999999999999</v>
      </c>
      <c r="AU70" s="16">
        <v>1.5000000000000002</v>
      </c>
      <c r="AV70" s="3">
        <v>5</v>
      </c>
      <c r="AW70" s="3">
        <v>25</v>
      </c>
    </row>
    <row r="71" spans="17:49" x14ac:dyDescent="0.35">
      <c r="Q71" t="s">
        <v>285</v>
      </c>
      <c r="R71" s="67">
        <v>3540.348</v>
      </c>
      <c r="U71" s="3" t="str">
        <v>Global Adaptabilities Conference Tables</v>
      </c>
      <c r="V71" s="1">
        <v>3540.348</v>
      </c>
      <c r="W71" s="1">
        <v>0</v>
      </c>
      <c r="X71" s="1"/>
      <c r="Y71" s="1"/>
      <c r="Z71" s="1"/>
      <c r="AC71" s="3" t="str">
        <f t="shared" si="13"/>
        <v/>
      </c>
      <c r="AE71" s="1"/>
      <c r="AG71" s="1"/>
      <c r="AK71" t="s">
        <v>120</v>
      </c>
      <c r="AL71" s="67">
        <v>15610.9656</v>
      </c>
      <c r="AM71" s="67">
        <v>1312.6602</v>
      </c>
      <c r="AN71" s="55">
        <v>1.17</v>
      </c>
      <c r="AO71" s="69">
        <v>5</v>
      </c>
      <c r="AP71" s="69">
        <v>24</v>
      </c>
      <c r="AR71" s="3" t="str">
        <v>Riverside Palais Royal Lawyers Bookcase, Royale Cherry Finish</v>
      </c>
      <c r="AS71" s="1">
        <v>15610.9656</v>
      </c>
      <c r="AT71" s="3">
        <v>1312.6602</v>
      </c>
      <c r="AU71" s="16">
        <v>1.17</v>
      </c>
      <c r="AV71" s="3">
        <v>5</v>
      </c>
      <c r="AW71" s="3">
        <v>24</v>
      </c>
    </row>
    <row r="72" spans="17:49" x14ac:dyDescent="0.35">
      <c r="Q72" t="s">
        <v>290</v>
      </c>
      <c r="R72" s="67">
        <v>3528.79</v>
      </c>
      <c r="U72" s="3" t="str">
        <v>Global Comet Stacking Armless Chair</v>
      </c>
      <c r="V72" s="1">
        <v>3528.79</v>
      </c>
      <c r="W72" s="1">
        <v>0</v>
      </c>
      <c r="X72" s="1"/>
      <c r="Y72" s="1"/>
      <c r="Z72" s="1"/>
      <c r="AC72" s="3" t="str">
        <f t="shared" si="13"/>
        <v/>
      </c>
      <c r="AE72" s="1"/>
      <c r="AG72" s="1"/>
      <c r="AK72" t="s">
        <v>436</v>
      </c>
      <c r="AL72" s="67">
        <v>2487.759</v>
      </c>
      <c r="AM72" s="67">
        <v>410.35199999999998</v>
      </c>
      <c r="AN72" s="55">
        <v>0.15</v>
      </c>
      <c r="AO72" s="69">
        <v>4</v>
      </c>
      <c r="AP72" s="69">
        <v>15</v>
      </c>
      <c r="AR72" s="3" t="str">
        <v>Rush Hierlooms Collection 1" Thick Stackable Bookcases</v>
      </c>
      <c r="AS72" s="1">
        <v>2487.759</v>
      </c>
      <c r="AT72" s="3">
        <v>410.35199999999998</v>
      </c>
      <c r="AU72" s="16">
        <v>0.15</v>
      </c>
      <c r="AV72" s="3">
        <v>4</v>
      </c>
      <c r="AW72" s="3">
        <v>15</v>
      </c>
    </row>
    <row r="73" spans="17:49" x14ac:dyDescent="0.35">
      <c r="Q73" t="s">
        <v>355</v>
      </c>
      <c r="R73" s="67">
        <v>3481.5149999999999</v>
      </c>
      <c r="U73" s="3" t="str">
        <v>Hon Rectangular Conference Tables</v>
      </c>
      <c r="V73" s="1">
        <v>3481.5149999999999</v>
      </c>
      <c r="W73" s="1">
        <v>0</v>
      </c>
      <c r="X73" s="1"/>
      <c r="Y73" s="1"/>
      <c r="Z73" s="1"/>
      <c r="AC73" s="3" t="str">
        <f t="shared" si="13"/>
        <v/>
      </c>
      <c r="AE73" s="1"/>
      <c r="AG73" s="1"/>
      <c r="AK73" t="s">
        <v>439</v>
      </c>
      <c r="AL73" s="67">
        <v>5697.76</v>
      </c>
      <c r="AM73" s="67">
        <v>870.16</v>
      </c>
      <c r="AN73" s="55">
        <v>1</v>
      </c>
      <c r="AO73" s="69">
        <v>8</v>
      </c>
      <c r="AP73" s="69">
        <v>27</v>
      </c>
      <c r="AR73" s="3" t="str">
        <v>Safco Contoured Stacking Chairs</v>
      </c>
      <c r="AS73" s="1">
        <v>5697.76</v>
      </c>
      <c r="AT73" s="3">
        <v>870.16</v>
      </c>
      <c r="AU73" s="16">
        <v>1</v>
      </c>
      <c r="AV73" s="3">
        <v>8</v>
      </c>
      <c r="AW73" s="3">
        <v>27</v>
      </c>
    </row>
    <row r="74" spans="17:49" x14ac:dyDescent="0.35">
      <c r="Q74" t="s">
        <v>370</v>
      </c>
      <c r="R74" s="67">
        <v>3457.442</v>
      </c>
      <c r="U74" s="3" t="str">
        <v>Iceberg OfficeWorks 42" Round Tables</v>
      </c>
      <c r="V74" s="1">
        <v>3457.442</v>
      </c>
      <c r="W74" s="1">
        <v>0</v>
      </c>
      <c r="X74" s="1"/>
      <c r="Y74" s="1"/>
      <c r="Z74" s="1"/>
      <c r="AC74" s="3" t="str">
        <f t="shared" si="13"/>
        <v/>
      </c>
      <c r="AE74" s="1"/>
      <c r="AG74" s="1"/>
      <c r="AK74" t="s">
        <v>444</v>
      </c>
      <c r="AL74" s="67">
        <v>3739.1149999999998</v>
      </c>
      <c r="AM74" s="67">
        <v>691.91099999999994</v>
      </c>
      <c r="AN74" s="55">
        <v>1.4000000000000001</v>
      </c>
      <c r="AO74" s="69">
        <v>5</v>
      </c>
      <c r="AP74" s="69">
        <v>14</v>
      </c>
      <c r="AR74" s="3" t="str">
        <v>SAFCO PlanMaster Heigh-Adjustable Drafting Table Base, 43w x 30d x 30-37h, Black</v>
      </c>
      <c r="AS74" s="1">
        <v>3739.1149999999998</v>
      </c>
      <c r="AT74" s="3">
        <v>691.91099999999994</v>
      </c>
      <c r="AU74" s="16">
        <v>1.4000000000000001</v>
      </c>
      <c r="AV74" s="3">
        <v>5</v>
      </c>
      <c r="AW74" s="3">
        <v>14</v>
      </c>
    </row>
    <row r="75" spans="17:49" x14ac:dyDescent="0.35">
      <c r="Q75" t="s">
        <v>284</v>
      </c>
      <c r="R75" s="67">
        <v>3447.84</v>
      </c>
      <c r="U75" s="3" t="str">
        <v>Global Adaptabilites Bookcase, Cherry/Storm Gray Finish</v>
      </c>
      <c r="V75" s="1">
        <v>3447.84</v>
      </c>
      <c r="W75" s="1">
        <v>0</v>
      </c>
      <c r="X75" s="1"/>
      <c r="Y75" s="1"/>
      <c r="Z75" s="1"/>
      <c r="AC75" s="3" t="str">
        <f t="shared" si="13"/>
        <v/>
      </c>
      <c r="AE75" s="1"/>
      <c r="AG75" s="1"/>
      <c r="AK75" t="s">
        <v>445</v>
      </c>
      <c r="AL75" s="67">
        <v>858.85799999999995</v>
      </c>
      <c r="AM75" s="67">
        <v>97.952399999999997</v>
      </c>
      <c r="AN75" s="55">
        <v>1.47</v>
      </c>
      <c r="AO75" s="69">
        <v>6</v>
      </c>
      <c r="AP75" s="69">
        <v>17</v>
      </c>
      <c r="AR75" s="3" t="str">
        <v>Safco Value Mate Series Steel Bookcases, Baked Enamel Finish on Steel, Gray</v>
      </c>
      <c r="AS75" s="1">
        <v>858.85799999999995</v>
      </c>
      <c r="AT75" s="3">
        <v>97.952399999999997</v>
      </c>
      <c r="AU75" s="16">
        <v>1.47</v>
      </c>
      <c r="AV75" s="3">
        <v>6</v>
      </c>
      <c r="AW75" s="3">
        <v>17</v>
      </c>
    </row>
    <row r="76" spans="17:49" x14ac:dyDescent="0.35">
      <c r="Q76" t="s">
        <v>428</v>
      </c>
      <c r="R76" s="67">
        <v>3420.7703999999999</v>
      </c>
      <c r="U76" s="3" t="str">
        <v>O'Sullivan Living Dimensions 5-Shelf Bookcases</v>
      </c>
      <c r="V76" s="1">
        <v>3420.7703999999999</v>
      </c>
      <c r="W76" s="1">
        <v>0</v>
      </c>
      <c r="X76" s="1"/>
      <c r="Y76" s="1"/>
      <c r="Z76" s="1"/>
      <c r="AC76" s="3" t="str">
        <f t="shared" si="13"/>
        <v/>
      </c>
      <c r="AE76" s="1"/>
      <c r="AG76" s="1"/>
      <c r="AK76" t="s">
        <v>458</v>
      </c>
      <c r="AL76" s="67">
        <v>316.48399999999998</v>
      </c>
      <c r="AM76" s="67">
        <v>81.432400000000001</v>
      </c>
      <c r="AN76" s="55">
        <v>0.8</v>
      </c>
      <c r="AO76" s="69">
        <v>5</v>
      </c>
      <c r="AP76" s="69">
        <v>20</v>
      </c>
      <c r="AR76" s="3" t="str">
        <v>Seth Thomas 13 1/2" Wall Clock</v>
      </c>
      <c r="AS76" s="1">
        <v>316.48399999999998</v>
      </c>
      <c r="AT76" s="3">
        <v>81.432400000000001</v>
      </c>
      <c r="AU76" s="16">
        <v>0.8</v>
      </c>
      <c r="AV76" s="3">
        <v>5</v>
      </c>
      <c r="AW76" s="3">
        <v>20</v>
      </c>
    </row>
    <row r="77" spans="17:49" x14ac:dyDescent="0.35">
      <c r="Q77" t="s">
        <v>163</v>
      </c>
      <c r="R77" s="67">
        <v>3401.6</v>
      </c>
      <c r="U77" s="3" t="str">
        <v>Bush Advantage Collection Round Conference Table</v>
      </c>
      <c r="V77" s="1">
        <v>3401.6</v>
      </c>
      <c r="W77" s="1">
        <v>0</v>
      </c>
      <c r="X77" s="1"/>
      <c r="Y77" s="1"/>
      <c r="Z77" s="1"/>
      <c r="AC77" s="3" t="str">
        <f t="shared" si="13"/>
        <v/>
      </c>
      <c r="AE77" s="1"/>
      <c r="AG77" s="1"/>
      <c r="AK77" t="s">
        <v>476</v>
      </c>
      <c r="AL77" s="67">
        <v>467.71199999999999</v>
      </c>
      <c r="AM77" s="67">
        <v>20.787199999999999</v>
      </c>
      <c r="AN77" s="55">
        <v>1.6</v>
      </c>
      <c r="AO77" s="69">
        <v>6</v>
      </c>
      <c r="AP77" s="69">
        <v>20</v>
      </c>
      <c r="AR77" s="3" t="str">
        <v>Tenex Chairmats For Use with Hard Floors</v>
      </c>
      <c r="AS77" s="1">
        <v>467.71199999999999</v>
      </c>
      <c r="AT77" s="3">
        <v>20.787199999999999</v>
      </c>
      <c r="AU77" s="16">
        <v>1.6</v>
      </c>
      <c r="AV77" s="3">
        <v>6</v>
      </c>
      <c r="AW77" s="3">
        <v>20</v>
      </c>
    </row>
    <row r="78" spans="17:49" x14ac:dyDescent="0.35">
      <c r="Q78" t="s">
        <v>180</v>
      </c>
      <c r="R78" s="67">
        <v>3354.89</v>
      </c>
      <c r="U78" s="3" t="str">
        <v>Chromcraft Bull-Nose Wood Round Conference Table Top, Wood Base</v>
      </c>
      <c r="V78" s="1">
        <v>3354.89</v>
      </c>
      <c r="W78" s="1">
        <v>0</v>
      </c>
      <c r="X78" s="1"/>
      <c r="Y78" s="1"/>
      <c r="Z78" s="1"/>
      <c r="AC78" s="3" t="str">
        <f t="shared" si="13"/>
        <v/>
      </c>
      <c r="AE78" s="1"/>
      <c r="AG78" s="1"/>
      <c r="AK78" t="s">
        <v>122</v>
      </c>
      <c r="AL78" s="67">
        <v>551.44799999999998</v>
      </c>
      <c r="AM78" s="67">
        <v>143.85599999999999</v>
      </c>
      <c r="AN78" s="55">
        <v>2.2000000000000002</v>
      </c>
      <c r="AO78" s="69">
        <v>8</v>
      </c>
      <c r="AP78" s="69">
        <v>36</v>
      </c>
      <c r="AR78" s="3" t="str">
        <v>12-1/2 Diameter Round Wall Clock</v>
      </c>
      <c r="AS78" s="1">
        <v>551.44799999999998</v>
      </c>
      <c r="AT78" s="3">
        <v>143.85599999999999</v>
      </c>
      <c r="AU78" s="16">
        <v>2.2000000000000002</v>
      </c>
      <c r="AV78" s="3">
        <v>8</v>
      </c>
      <c r="AW78" s="3">
        <v>36</v>
      </c>
    </row>
    <row r="79" spans="17:49" x14ac:dyDescent="0.35">
      <c r="Q79" t="s">
        <v>164</v>
      </c>
      <c r="R79" s="67">
        <v>3317.7235000000001</v>
      </c>
      <c r="U79" s="3" t="str">
        <v>Bush Andora Bookcase, Maple/Graphite Gray Finish</v>
      </c>
      <c r="V79" s="1">
        <v>3317.7235000000001</v>
      </c>
      <c r="W79" s="1">
        <v>0</v>
      </c>
      <c r="X79" s="1"/>
      <c r="Y79" s="1"/>
      <c r="Z79" s="1"/>
      <c r="AC79" s="3" t="str">
        <f t="shared" si="13"/>
        <v/>
      </c>
      <c r="AE79" s="1"/>
      <c r="AG79" s="1"/>
      <c r="AK79" t="s">
        <v>131</v>
      </c>
      <c r="AL79" s="67">
        <v>822.73800000000006</v>
      </c>
      <c r="AM79" s="67">
        <v>311.77440000000001</v>
      </c>
      <c r="AN79" s="55">
        <v>0.2</v>
      </c>
      <c r="AO79" s="69">
        <v>5</v>
      </c>
      <c r="AP79" s="69">
        <v>28</v>
      </c>
      <c r="AR79" s="3" t="str">
        <v>Advantus Employee of the Month Certificate Frame, 11 x 13-1/2</v>
      </c>
      <c r="AS79" s="1">
        <v>822.73800000000006</v>
      </c>
      <c r="AT79" s="3">
        <v>311.77440000000001</v>
      </c>
      <c r="AU79" s="16">
        <v>0.2</v>
      </c>
      <c r="AV79" s="3">
        <v>5</v>
      </c>
      <c r="AW79" s="3">
        <v>28</v>
      </c>
    </row>
    <row r="80" spans="17:49" x14ac:dyDescent="0.35">
      <c r="Q80" t="s">
        <v>471</v>
      </c>
      <c r="R80" s="67">
        <v>3317.0120000000002</v>
      </c>
      <c r="U80" s="3" t="str">
        <v>Tenex Antistatic Computer Chair Mats</v>
      </c>
      <c r="V80" s="1">
        <v>3317.0120000000002</v>
      </c>
      <c r="W80" s="1">
        <v>0</v>
      </c>
      <c r="X80" s="1"/>
      <c r="Y80" s="1"/>
      <c r="Z80" s="1"/>
      <c r="AC80" s="3" t="str">
        <f t="shared" si="13"/>
        <v/>
      </c>
      <c r="AE80" s="1"/>
      <c r="AG80" s="1"/>
      <c r="AK80" t="s">
        <v>140</v>
      </c>
      <c r="AL80" s="67">
        <v>5492.8850000000002</v>
      </c>
      <c r="AM80" s="67">
        <v>346.12700000000001</v>
      </c>
      <c r="AN80" s="55">
        <v>2.5299999999999998</v>
      </c>
      <c r="AO80" s="69">
        <v>8</v>
      </c>
      <c r="AP80" s="69">
        <v>26</v>
      </c>
      <c r="AR80" s="3" t="str">
        <v>Atlantic Metals Mobile 5-Shelf Bookcases, Custom Colors</v>
      </c>
      <c r="AS80" s="1">
        <v>5492.8850000000002</v>
      </c>
      <c r="AT80" s="3">
        <v>346.12700000000001</v>
      </c>
      <c r="AU80" s="16">
        <v>2.5299999999999998</v>
      </c>
      <c r="AV80" s="3">
        <v>8</v>
      </c>
      <c r="AW80" s="3">
        <v>26</v>
      </c>
    </row>
    <row r="81" spans="17:49" x14ac:dyDescent="0.35">
      <c r="Q81" t="s">
        <v>148</v>
      </c>
      <c r="R81" s="67">
        <v>3253.22</v>
      </c>
      <c r="U81" s="3" t="str">
        <v>Bevis 44 x 96 Conference Tables</v>
      </c>
      <c r="V81" s="1">
        <v>3253.22</v>
      </c>
      <c r="W81" s="1">
        <v>0</v>
      </c>
      <c r="X81" s="1"/>
      <c r="Y81" s="1"/>
      <c r="Z81" s="1"/>
      <c r="AC81" s="3" t="str">
        <f t="shared" si="13"/>
        <v/>
      </c>
      <c r="AE81" s="1"/>
      <c r="AG81" s="1"/>
      <c r="AK81" t="s">
        <v>143</v>
      </c>
      <c r="AL81" s="67">
        <v>1040.625</v>
      </c>
      <c r="AM81" s="67">
        <v>0</v>
      </c>
      <c r="AN81" s="55">
        <v>1.9</v>
      </c>
      <c r="AO81" s="69">
        <v>5</v>
      </c>
      <c r="AP81" s="69">
        <v>12</v>
      </c>
      <c r="AR81" s="3" t="str">
        <v>Balt Split Level Computer Training Table</v>
      </c>
      <c r="AS81" s="1">
        <v>1040.625</v>
      </c>
      <c r="AT81" s="3">
        <v>0</v>
      </c>
      <c r="AU81" s="16">
        <v>1.9</v>
      </c>
      <c r="AV81" s="3">
        <v>5</v>
      </c>
      <c r="AW81" s="3">
        <v>12</v>
      </c>
    </row>
    <row r="82" spans="17:49" x14ac:dyDescent="0.35">
      <c r="Q82" t="s">
        <v>302</v>
      </c>
      <c r="R82" s="67">
        <v>3150.576</v>
      </c>
      <c r="U82" s="3" t="str">
        <v>Global Fabric Manager's Chair, Dark Gray</v>
      </c>
      <c r="V82" s="1">
        <v>3150.576</v>
      </c>
      <c r="W82" s="1">
        <v>0</v>
      </c>
      <c r="X82" s="1"/>
      <c r="Y82" s="1"/>
      <c r="Z82" s="1"/>
      <c r="AC82" s="3" t="str">
        <f t="shared" si="13"/>
        <v/>
      </c>
      <c r="AE82" s="1"/>
      <c r="AG82" s="1"/>
      <c r="AK82" t="s">
        <v>147</v>
      </c>
      <c r="AL82" s="67">
        <v>4332.2520000000004</v>
      </c>
      <c r="AM82" s="67">
        <v>580.12339999999995</v>
      </c>
      <c r="AN82" s="55">
        <v>1.3000000000000003</v>
      </c>
      <c r="AO82" s="69">
        <v>8</v>
      </c>
      <c r="AP82" s="69">
        <v>40</v>
      </c>
      <c r="AR82" s="3" t="str">
        <v>Bevis 36 x 72 Conference Tables</v>
      </c>
      <c r="AS82" s="1">
        <v>4332.2520000000004</v>
      </c>
      <c r="AT82" s="3">
        <v>580.12339999999995</v>
      </c>
      <c r="AU82" s="16">
        <v>1.3000000000000003</v>
      </c>
      <c r="AV82" s="3">
        <v>8</v>
      </c>
      <c r="AW82" s="3">
        <v>40</v>
      </c>
    </row>
    <row r="83" spans="17:49" x14ac:dyDescent="0.35">
      <c r="Q83" t="s">
        <v>327</v>
      </c>
      <c r="R83" s="67">
        <v>3140.55</v>
      </c>
      <c r="U83" s="3" t="str">
        <v>Hon 2111 Invitation Series Corner Table</v>
      </c>
      <c r="V83" s="1">
        <v>3140.55</v>
      </c>
      <c r="W83" s="1">
        <v>0</v>
      </c>
      <c r="X83" s="1"/>
      <c r="Y83" s="1"/>
      <c r="Z83" s="1"/>
      <c r="AC83" s="3" t="str">
        <f t="shared" si="13"/>
        <v/>
      </c>
      <c r="AE83" s="1"/>
      <c r="AG83" s="1"/>
      <c r="AK83" t="s">
        <v>149</v>
      </c>
      <c r="AL83" s="67">
        <v>2542.4670000000001</v>
      </c>
      <c r="AM83" s="67">
        <v>94.3596</v>
      </c>
      <c r="AN83" s="55">
        <v>1.9000000000000001</v>
      </c>
      <c r="AO83" s="69">
        <v>6</v>
      </c>
      <c r="AP83" s="69">
        <v>15</v>
      </c>
      <c r="AR83" s="3" t="str">
        <v>Bevis Boat-Shaped Conference Table</v>
      </c>
      <c r="AS83" s="1">
        <v>2542.4670000000001</v>
      </c>
      <c r="AT83" s="3">
        <v>94.3596</v>
      </c>
      <c r="AU83" s="16">
        <v>1.9000000000000001</v>
      </c>
      <c r="AV83" s="3">
        <v>6</v>
      </c>
      <c r="AW83" s="3">
        <v>15</v>
      </c>
    </row>
    <row r="84" spans="17:49" x14ac:dyDescent="0.35">
      <c r="Q84" t="s">
        <v>443</v>
      </c>
      <c r="R84" s="67">
        <v>2979.0039999999999</v>
      </c>
      <c r="U84" s="3" t="str">
        <v>SAFCO PlanMaster Boards, 60w x 37-1/2d, White Melamine</v>
      </c>
      <c r="V84" s="1">
        <v>2979.0039999999999</v>
      </c>
      <c r="W84" s="1">
        <v>0</v>
      </c>
      <c r="X84" s="1"/>
      <c r="Y84" s="1"/>
      <c r="Z84" s="1"/>
      <c r="AC84" s="3" t="str">
        <f t="shared" si="13"/>
        <v/>
      </c>
      <c r="AE84" s="1"/>
      <c r="AG84" s="1"/>
      <c r="AK84" t="s">
        <v>151</v>
      </c>
      <c r="AL84" s="67">
        <v>1007.2619999999999</v>
      </c>
      <c r="AM84" s="67">
        <v>0</v>
      </c>
      <c r="AN84" s="55">
        <v>1.9</v>
      </c>
      <c r="AO84" s="69">
        <v>4</v>
      </c>
      <c r="AP84" s="69">
        <v>13</v>
      </c>
      <c r="AR84" s="3" t="str">
        <v>Bevis Rectangular Conference Tables</v>
      </c>
      <c r="AS84" s="1">
        <v>1007.2619999999999</v>
      </c>
      <c r="AT84" s="3">
        <v>0</v>
      </c>
      <c r="AU84" s="16">
        <v>1.9</v>
      </c>
      <c r="AV84" s="3">
        <v>4</v>
      </c>
      <c r="AW84" s="3">
        <v>13</v>
      </c>
    </row>
    <row r="85" spans="17:49" x14ac:dyDescent="0.35">
      <c r="Q85" t="s">
        <v>426</v>
      </c>
      <c r="R85" s="67">
        <v>2970.0590000000002</v>
      </c>
      <c r="U85" s="3" t="str">
        <v>O'Sullivan Living Dimensions 2-Shelf Bookcases</v>
      </c>
      <c r="V85" s="1">
        <v>2970.0590000000002</v>
      </c>
      <c r="W85" s="1">
        <v>0</v>
      </c>
      <c r="X85" s="1"/>
      <c r="Y85" s="1"/>
      <c r="Z85" s="1"/>
      <c r="AC85" s="3" t="str">
        <f t="shared" si="13"/>
        <v/>
      </c>
      <c r="AE85" s="1"/>
      <c r="AG85" s="1"/>
      <c r="AK85" t="s">
        <v>155</v>
      </c>
      <c r="AL85" s="67">
        <v>2671.4209999999998</v>
      </c>
      <c r="AM85" s="67">
        <v>39.443800000000003</v>
      </c>
      <c r="AN85" s="55">
        <v>1.6</v>
      </c>
      <c r="AO85" s="69">
        <v>6</v>
      </c>
      <c r="AP85" s="69">
        <v>20</v>
      </c>
      <c r="AR85" s="3" t="str">
        <v>Bevis Round Conference Table Top, X-Base</v>
      </c>
      <c r="AS85" s="1">
        <v>2671.4209999999998</v>
      </c>
      <c r="AT85" s="3">
        <v>39.443800000000003</v>
      </c>
      <c r="AU85" s="16">
        <v>1.6</v>
      </c>
      <c r="AV85" s="3">
        <v>6</v>
      </c>
      <c r="AW85" s="3">
        <v>20</v>
      </c>
    </row>
    <row r="86" spans="17:49" x14ac:dyDescent="0.35">
      <c r="Q86" t="s">
        <v>313</v>
      </c>
      <c r="R86" s="67">
        <v>2959.2080000000001</v>
      </c>
      <c r="U86" s="3" t="str">
        <v>Global Manager's Adjustable Task Chair, Storm</v>
      </c>
      <c r="V86" s="1">
        <v>2959.2080000000001</v>
      </c>
      <c r="W86" s="1">
        <v>0</v>
      </c>
      <c r="X86" s="1"/>
      <c r="Y86" s="1"/>
      <c r="Z86" s="1"/>
      <c r="AC86" s="3" t="str">
        <f t="shared" si="13"/>
        <v/>
      </c>
      <c r="AE86" s="1"/>
      <c r="AG86" s="1"/>
      <c r="AK86" t="s">
        <v>160</v>
      </c>
      <c r="AL86" s="67">
        <v>7242.768</v>
      </c>
      <c r="AM86" s="67">
        <v>442.22669999999999</v>
      </c>
      <c r="AN86" s="55">
        <v>2.1</v>
      </c>
      <c r="AO86" s="69">
        <v>8</v>
      </c>
      <c r="AP86" s="69">
        <v>29</v>
      </c>
      <c r="AR86" s="3" t="str">
        <v>Bretford CR4500 Series Slim Rectangular Table</v>
      </c>
      <c r="AS86" s="1">
        <v>7242.768</v>
      </c>
      <c r="AT86" s="3">
        <v>442.22669999999999</v>
      </c>
      <c r="AU86" s="16">
        <v>2.1</v>
      </c>
      <c r="AV86" s="3">
        <v>8</v>
      </c>
      <c r="AW86" s="3">
        <v>29</v>
      </c>
    </row>
    <row r="87" spans="17:49" x14ac:dyDescent="0.35">
      <c r="Q87" t="s">
        <v>430</v>
      </c>
      <c r="R87" s="67">
        <v>2946.3667999999998</v>
      </c>
      <c r="U87" s="3" t="str">
        <v>O'Sullivan Plantations 2-Door Library in Landvery Oak</v>
      </c>
      <c r="V87" s="1">
        <v>2946.3667999999998</v>
      </c>
      <c r="W87" s="1">
        <v>0</v>
      </c>
      <c r="X87" s="1"/>
      <c r="Y87" s="1"/>
      <c r="Z87" s="1"/>
      <c r="AC87" s="3" t="str">
        <f t="shared" si="13"/>
        <v/>
      </c>
      <c r="AE87" s="1"/>
      <c r="AG87" s="1"/>
      <c r="AK87" t="s">
        <v>165</v>
      </c>
      <c r="AL87" s="67">
        <v>1436.232</v>
      </c>
      <c r="AM87" s="67">
        <v>10.258800000000001</v>
      </c>
      <c r="AN87" s="55">
        <v>1.2000000000000002</v>
      </c>
      <c r="AO87" s="69">
        <v>4</v>
      </c>
      <c r="AP87" s="69">
        <v>12</v>
      </c>
      <c r="AR87" s="3" t="str">
        <v>Bush Andora Conference Table, Maple/Graphite Gray Finish</v>
      </c>
      <c r="AS87" s="1">
        <v>1436.232</v>
      </c>
      <c r="AT87" s="3">
        <v>10.258800000000001</v>
      </c>
      <c r="AU87" s="16">
        <v>1.2000000000000002</v>
      </c>
      <c r="AV87" s="3">
        <v>4</v>
      </c>
      <c r="AW87" s="3">
        <v>12</v>
      </c>
    </row>
    <row r="88" spans="17:49" x14ac:dyDescent="0.35">
      <c r="Q88" t="s">
        <v>397</v>
      </c>
      <c r="R88" s="67">
        <v>2913.9140000000002</v>
      </c>
      <c r="U88" s="3" t="str">
        <v>Novimex Swivel Fabric Task Chair</v>
      </c>
      <c r="V88" s="1">
        <v>2913.9140000000002</v>
      </c>
      <c r="W88" s="1">
        <v>0</v>
      </c>
      <c r="X88" s="1"/>
      <c r="Y88" s="1"/>
      <c r="Z88" s="1"/>
      <c r="AC88" s="3" t="str">
        <f t="shared" si="13"/>
        <v/>
      </c>
      <c r="AE88" s="1"/>
      <c r="AG88" s="1"/>
      <c r="AK88" t="s">
        <v>173</v>
      </c>
      <c r="AL88" s="67">
        <v>649.37599999999998</v>
      </c>
      <c r="AM88" s="67">
        <v>46.384</v>
      </c>
      <c r="AN88" s="55">
        <v>0.7</v>
      </c>
      <c r="AO88" s="69">
        <v>3</v>
      </c>
      <c r="AP88" s="69">
        <v>14</v>
      </c>
      <c r="AR88" s="3" t="str">
        <v>Bush Westfield Collection Bookcases, Dark Cherry Finish</v>
      </c>
      <c r="AS88" s="1">
        <v>649.37599999999998</v>
      </c>
      <c r="AT88" s="3">
        <v>46.384</v>
      </c>
      <c r="AU88" s="16">
        <v>0.7</v>
      </c>
      <c r="AV88" s="3">
        <v>3</v>
      </c>
      <c r="AW88" s="3">
        <v>14</v>
      </c>
    </row>
    <row r="89" spans="17:49" x14ac:dyDescent="0.35">
      <c r="Q89" t="s">
        <v>427</v>
      </c>
      <c r="R89" s="67">
        <v>2904.1610000000001</v>
      </c>
      <c r="U89" s="3" t="str">
        <v>O'Sullivan Living Dimensions 3-Shelf Bookcases</v>
      </c>
      <c r="V89" s="1">
        <v>2904.1610000000001</v>
      </c>
      <c r="W89" s="1">
        <v>0</v>
      </c>
      <c r="X89" s="1"/>
      <c r="Y89" s="1"/>
      <c r="Z89" s="1"/>
      <c r="AC89" s="3" t="str">
        <f t="shared" si="13"/>
        <v/>
      </c>
      <c r="AE89" s="1"/>
      <c r="AG89" s="1"/>
      <c r="AK89" t="s">
        <v>114</v>
      </c>
      <c r="AL89" s="67">
        <v>9917.64</v>
      </c>
      <c r="AM89" s="67">
        <v>231.41159999999999</v>
      </c>
      <c r="AN89" s="55">
        <v>1.4</v>
      </c>
      <c r="AO89" s="69">
        <v>5</v>
      </c>
      <c r="AP89" s="69">
        <v>27</v>
      </c>
      <c r="AR89" s="3" t="str">
        <v>Chromcraft Bull-Nose Wood Oval Conference Tables &amp; Bases</v>
      </c>
      <c r="AS89" s="1">
        <v>9917.64</v>
      </c>
      <c r="AT89" s="3">
        <v>231.41159999999999</v>
      </c>
      <c r="AU89" s="16">
        <v>1.4</v>
      </c>
      <c r="AV89" s="3">
        <v>5</v>
      </c>
      <c r="AW89" s="3">
        <v>27</v>
      </c>
    </row>
    <row r="90" spans="17:49" x14ac:dyDescent="0.35">
      <c r="Q90" t="s">
        <v>260</v>
      </c>
      <c r="R90" s="67">
        <v>2863.8</v>
      </c>
      <c r="U90" s="3" t="str">
        <v>Electrix Architect's Clamp-On Swing Arm Lamp, Black</v>
      </c>
      <c r="V90" s="1">
        <v>2863.8</v>
      </c>
      <c r="W90" s="1">
        <v>0</v>
      </c>
      <c r="X90" s="1"/>
      <c r="Y90" s="1"/>
      <c r="Z90" s="1"/>
      <c r="AC90" s="3" t="str">
        <f t="shared" si="13"/>
        <v/>
      </c>
      <c r="AE90" s="1"/>
      <c r="AG90" s="1"/>
      <c r="AK90" t="s">
        <v>182</v>
      </c>
      <c r="AL90" s="67">
        <v>8209.0589999999993</v>
      </c>
      <c r="AM90" s="67">
        <v>517.6413</v>
      </c>
      <c r="AN90" s="55">
        <v>3.3499999999999996</v>
      </c>
      <c r="AO90" s="69">
        <v>13</v>
      </c>
      <c r="AP90" s="69">
        <v>61</v>
      </c>
      <c r="AR90" s="3" t="str">
        <v>Chromcraft Round Conference Tables</v>
      </c>
      <c r="AS90" s="1">
        <v>8209.0589999999993</v>
      </c>
      <c r="AT90" s="3">
        <v>517.6413</v>
      </c>
      <c r="AU90" s="16">
        <v>3.3499999999999996</v>
      </c>
      <c r="AV90" s="3">
        <v>13</v>
      </c>
      <c r="AW90" s="3">
        <v>61</v>
      </c>
    </row>
    <row r="91" spans="17:49" x14ac:dyDescent="0.35">
      <c r="Q91" t="s">
        <v>375</v>
      </c>
      <c r="R91" s="67">
        <v>2847.78</v>
      </c>
      <c r="U91" s="3" t="str">
        <v>Lesro Round Back Collection Coffee Table, End Table</v>
      </c>
      <c r="V91" s="1">
        <v>2847.78</v>
      </c>
      <c r="W91" s="1">
        <v>0</v>
      </c>
      <c r="X91" s="1"/>
      <c r="Y91" s="1"/>
      <c r="Z91" s="1"/>
      <c r="AC91" s="3" t="str">
        <f t="shared" si="13"/>
        <v/>
      </c>
      <c r="AE91" s="1"/>
      <c r="AG91" s="1"/>
      <c r="AK91" t="s">
        <v>183</v>
      </c>
      <c r="AL91" s="67">
        <v>514.55600000000004</v>
      </c>
      <c r="AM91" s="67">
        <v>118.78579999999999</v>
      </c>
      <c r="AN91" s="55">
        <v>0.6</v>
      </c>
      <c r="AO91" s="69">
        <v>4</v>
      </c>
      <c r="AP91" s="69">
        <v>13</v>
      </c>
      <c r="AR91" s="3" t="str">
        <v>C-Line Cubicle Keepers Polyproplyene Holder w/Velcro Back, 8-1/2x11, 25/Bx</v>
      </c>
      <c r="AS91" s="1">
        <v>514.55600000000004</v>
      </c>
      <c r="AT91" s="3">
        <v>118.78579999999999</v>
      </c>
      <c r="AU91" s="16">
        <v>0.6</v>
      </c>
      <c r="AV91" s="3">
        <v>4</v>
      </c>
      <c r="AW91" s="3">
        <v>13</v>
      </c>
    </row>
    <row r="92" spans="17:49" x14ac:dyDescent="0.35">
      <c r="Q92" t="s">
        <v>262</v>
      </c>
      <c r="R92" s="67">
        <v>2759.06</v>
      </c>
      <c r="U92" s="3" t="str">
        <v>Electrix Halogen Magnifier Lamp</v>
      </c>
      <c r="V92" s="1">
        <v>2759.06</v>
      </c>
      <c r="W92" s="1">
        <v>0</v>
      </c>
      <c r="X92" s="1"/>
      <c r="Y92" s="1"/>
      <c r="Z92" s="1"/>
      <c r="AC92" s="3" t="str">
        <f t="shared" si="13"/>
        <v/>
      </c>
      <c r="AE92" s="1"/>
      <c r="AG92" s="1"/>
      <c r="AK92" t="s">
        <v>184</v>
      </c>
      <c r="AL92" s="67">
        <v>137.16999999999999</v>
      </c>
      <c r="AM92" s="67">
        <v>48.719000000000001</v>
      </c>
      <c r="AN92" s="55">
        <v>1</v>
      </c>
      <c r="AO92" s="69">
        <v>8</v>
      </c>
      <c r="AP92" s="69">
        <v>31</v>
      </c>
      <c r="AR92" s="3" t="str">
        <v>C-Line Cubicle Keepers Polyproplyene Holder With Velcro Backings</v>
      </c>
      <c r="AS92" s="1">
        <v>137.16999999999999</v>
      </c>
      <c r="AT92" s="3">
        <v>48.719000000000001</v>
      </c>
      <c r="AU92" s="16">
        <v>1</v>
      </c>
      <c r="AV92" s="3">
        <v>8</v>
      </c>
      <c r="AW92" s="3">
        <v>31</v>
      </c>
    </row>
    <row r="93" spans="17:49" x14ac:dyDescent="0.35">
      <c r="Q93" t="s">
        <v>421</v>
      </c>
      <c r="R93" s="67">
        <v>2740.1970000000001</v>
      </c>
      <c r="U93" s="3" t="str">
        <v>O'Sullivan 4-Shelf Bookcase in Odessa Pine</v>
      </c>
      <c r="V93" s="1">
        <v>2740.1970000000001</v>
      </c>
      <c r="W93" s="1">
        <v>0</v>
      </c>
      <c r="X93" s="1"/>
      <c r="Y93" s="1"/>
      <c r="Z93" s="1"/>
      <c r="AC93" s="3" t="str">
        <f t="shared" si="13"/>
        <v/>
      </c>
      <c r="AE93" s="1"/>
      <c r="AG93" s="1"/>
      <c r="AK93" t="s">
        <v>186</v>
      </c>
      <c r="AL93" s="67">
        <v>298.2</v>
      </c>
      <c r="AM93" s="67">
        <v>116.298</v>
      </c>
      <c r="AN93" s="55">
        <v>0</v>
      </c>
      <c r="AO93" s="69">
        <v>6</v>
      </c>
      <c r="AP93" s="69">
        <v>21</v>
      </c>
      <c r="AR93" s="3" t="str">
        <v>Coloredge Poster Frame</v>
      </c>
      <c r="AS93" s="1">
        <v>298.2</v>
      </c>
      <c r="AT93" s="3">
        <v>116.298</v>
      </c>
      <c r="AU93" s="16">
        <v>0</v>
      </c>
      <c r="AV93" s="3">
        <v>6</v>
      </c>
      <c r="AW93" s="3">
        <v>21</v>
      </c>
    </row>
    <row r="94" spans="17:49" x14ac:dyDescent="0.35">
      <c r="Q94" t="s">
        <v>347</v>
      </c>
      <c r="R94" s="67">
        <v>2705.78</v>
      </c>
      <c r="U94" s="3" t="str">
        <v>Hon Mobius Operator's Chair</v>
      </c>
      <c r="V94" s="1">
        <v>2705.78</v>
      </c>
      <c r="W94" s="1">
        <v>0</v>
      </c>
      <c r="X94" s="1"/>
      <c r="Y94" s="1"/>
      <c r="Z94" s="1"/>
      <c r="AC94" s="3" t="str">
        <f t="shared" si="13"/>
        <v/>
      </c>
      <c r="AE94" s="1"/>
      <c r="AG94" s="1"/>
      <c r="AK94" t="s">
        <v>189</v>
      </c>
      <c r="AL94" s="67">
        <v>193.92</v>
      </c>
      <c r="AM94" s="67">
        <v>41.207999999999998</v>
      </c>
      <c r="AN94" s="55">
        <v>1.4</v>
      </c>
      <c r="AO94" s="69">
        <v>4</v>
      </c>
      <c r="AP94" s="69">
        <v>18</v>
      </c>
      <c r="AR94" s="3" t="str">
        <v>Contemporary Wood/Metal Frame</v>
      </c>
      <c r="AS94" s="1">
        <v>193.92</v>
      </c>
      <c r="AT94" s="3">
        <v>41.207999999999998</v>
      </c>
      <c r="AU94" s="16">
        <v>1.4</v>
      </c>
      <c r="AV94" s="3">
        <v>4</v>
      </c>
      <c r="AW94" s="3">
        <v>18</v>
      </c>
    </row>
    <row r="95" spans="17:49" x14ac:dyDescent="0.35">
      <c r="Q95" t="s">
        <v>281</v>
      </c>
      <c r="R95" s="67">
        <v>2699.056</v>
      </c>
      <c r="U95" s="3" t="str">
        <v>GE 48" Fluorescent Tube, Cool White Energy Saver, 34 Watts, 30/Box</v>
      </c>
      <c r="V95" s="1">
        <v>2699.056</v>
      </c>
      <c r="W95" s="1">
        <v>0</v>
      </c>
      <c r="X95" s="1"/>
      <c r="Y95" s="1"/>
      <c r="Z95" s="1"/>
      <c r="AC95" s="3" t="str">
        <f t="shared" si="13"/>
        <v/>
      </c>
      <c r="AE95" s="1"/>
      <c r="AG95" s="1"/>
      <c r="AK95" t="s">
        <v>191</v>
      </c>
      <c r="AL95" s="67">
        <v>581.17200000000003</v>
      </c>
      <c r="AM95" s="67">
        <v>112.15600000000001</v>
      </c>
      <c r="AN95" s="55">
        <v>1</v>
      </c>
      <c r="AO95" s="69">
        <v>4</v>
      </c>
      <c r="AP95" s="69">
        <v>14</v>
      </c>
      <c r="AR95" s="3" t="str">
        <v>Dana Fluorescent Magnifying Lamp, White, 36"</v>
      </c>
      <c r="AS95" s="1">
        <v>581.17200000000003</v>
      </c>
      <c r="AT95" s="3">
        <v>112.15600000000001</v>
      </c>
      <c r="AU95" s="16">
        <v>1</v>
      </c>
      <c r="AV95" s="3">
        <v>4</v>
      </c>
      <c r="AW95" s="3">
        <v>14</v>
      </c>
    </row>
    <row r="96" spans="17:49" x14ac:dyDescent="0.35">
      <c r="Q96" t="s">
        <v>155</v>
      </c>
      <c r="R96" s="67">
        <v>2671.4209999999998</v>
      </c>
      <c r="U96" s="3" t="str">
        <v>Bevis Round Conference Table Top, X-Base</v>
      </c>
      <c r="V96" s="1">
        <v>2671.4209999999998</v>
      </c>
      <c r="W96" s="1">
        <v>0</v>
      </c>
      <c r="X96" s="1"/>
      <c r="Y96" s="1"/>
      <c r="Z96" s="1"/>
      <c r="AC96" s="3" t="str">
        <f t="shared" si="13"/>
        <v/>
      </c>
      <c r="AE96" s="1"/>
      <c r="AG96" s="1"/>
      <c r="AK96" t="s">
        <v>202</v>
      </c>
      <c r="AL96" s="67">
        <v>145.69</v>
      </c>
      <c r="AM96" s="67">
        <v>52.448399999999999</v>
      </c>
      <c r="AN96" s="55">
        <v>0</v>
      </c>
      <c r="AO96" s="69">
        <v>4</v>
      </c>
      <c r="AP96" s="69">
        <v>17</v>
      </c>
      <c r="AR96" s="3" t="str">
        <v>DAX Cubicle Frames, 8-1/2 x 11</v>
      </c>
      <c r="AS96" s="1">
        <v>145.69</v>
      </c>
      <c r="AT96" s="3">
        <v>52.448399999999999</v>
      </c>
      <c r="AU96" s="16">
        <v>0</v>
      </c>
      <c r="AV96" s="3">
        <v>4</v>
      </c>
      <c r="AW96" s="3">
        <v>17</v>
      </c>
    </row>
    <row r="97" spans="17:49" x14ac:dyDescent="0.35">
      <c r="Q97" t="s">
        <v>304</v>
      </c>
      <c r="R97" s="67">
        <v>2647.8090000000002</v>
      </c>
      <c r="U97" s="3" t="str">
        <v>Global Highback Leather Tilter in Burgundy</v>
      </c>
      <c r="V97" s="1">
        <v>2647.8090000000002</v>
      </c>
      <c r="W97" s="1">
        <v>0</v>
      </c>
      <c r="X97" s="1"/>
      <c r="Y97" s="1"/>
      <c r="Z97" s="1"/>
      <c r="AC97" s="3" t="str">
        <f t="shared" si="13"/>
        <v/>
      </c>
      <c r="AE97" s="1"/>
      <c r="AG97" s="1"/>
      <c r="AK97" t="s">
        <v>204</v>
      </c>
      <c r="AL97" s="67">
        <v>161.91999999999999</v>
      </c>
      <c r="AM97" s="67">
        <v>47.361600000000003</v>
      </c>
      <c r="AN97" s="55">
        <v>1.2</v>
      </c>
      <c r="AO97" s="69">
        <v>5</v>
      </c>
      <c r="AP97" s="69">
        <v>11</v>
      </c>
      <c r="AR97" s="3" t="str">
        <v>DAX Metal Frame, Desktop, Stepped-Edge</v>
      </c>
      <c r="AS97" s="1">
        <v>161.91999999999999</v>
      </c>
      <c r="AT97" s="3">
        <v>47.361600000000003</v>
      </c>
      <c r="AU97" s="16">
        <v>1.2</v>
      </c>
      <c r="AV97" s="3">
        <v>5</v>
      </c>
      <c r="AW97" s="3">
        <v>11</v>
      </c>
    </row>
    <row r="98" spans="17:49" x14ac:dyDescent="0.35">
      <c r="Q98" t="s">
        <v>339</v>
      </c>
      <c r="R98" s="67">
        <v>2586.1880000000001</v>
      </c>
      <c r="U98" s="3" t="str">
        <v>Hon Deluxe Fabric Upholstered Stacking Chairs</v>
      </c>
      <c r="V98" s="1">
        <v>2586.1880000000001</v>
      </c>
      <c r="W98" s="1">
        <v>0</v>
      </c>
      <c r="X98" s="1"/>
      <c r="Y98" s="1"/>
      <c r="Z98" s="1"/>
      <c r="AC98" s="3" t="str">
        <f t="shared" si="13"/>
        <v/>
      </c>
      <c r="AE98" s="1"/>
      <c r="AG98" s="1"/>
      <c r="AK98" t="s">
        <v>210</v>
      </c>
      <c r="AL98" s="67">
        <v>477.80399999999997</v>
      </c>
      <c r="AM98" s="67">
        <v>146.0872</v>
      </c>
      <c r="AN98" s="55">
        <v>1</v>
      </c>
      <c r="AO98" s="69">
        <v>9</v>
      </c>
      <c r="AP98" s="69">
        <v>40</v>
      </c>
      <c r="AR98" s="3" t="str">
        <v>DAX Wood Document Frame</v>
      </c>
      <c r="AS98" s="1">
        <v>477.80399999999997</v>
      </c>
      <c r="AT98" s="3">
        <v>146.0872</v>
      </c>
      <c r="AU98" s="16">
        <v>1</v>
      </c>
      <c r="AV98" s="3">
        <v>9</v>
      </c>
      <c r="AW98" s="3">
        <v>40</v>
      </c>
    </row>
    <row r="99" spans="17:49" x14ac:dyDescent="0.35">
      <c r="Q99" t="s">
        <v>149</v>
      </c>
      <c r="R99" s="67">
        <v>2542.4670000000001</v>
      </c>
      <c r="U99" s="3" t="str">
        <v>Bevis Boat-Shaped Conference Table</v>
      </c>
      <c r="V99" s="1">
        <v>2542.4670000000001</v>
      </c>
      <c r="W99" s="1">
        <v>0</v>
      </c>
      <c r="X99" s="1"/>
      <c r="Y99" s="1"/>
      <c r="Z99" s="1"/>
      <c r="AC99" s="3" t="str">
        <f t="shared" si="13"/>
        <v/>
      </c>
      <c r="AE99" s="1"/>
      <c r="AG99" s="1"/>
      <c r="AK99" t="s">
        <v>215</v>
      </c>
      <c r="AL99" s="67">
        <v>1115.6400000000001</v>
      </c>
      <c r="AM99" s="67">
        <v>70.657200000000003</v>
      </c>
      <c r="AN99" s="55">
        <v>1.6</v>
      </c>
      <c r="AO99" s="69">
        <v>9</v>
      </c>
      <c r="AP99" s="69">
        <v>33</v>
      </c>
      <c r="AR99" s="3" t="str">
        <v>Deflect-o EconoMat Studded, No Bevel Mat for Low Pile Carpeting</v>
      </c>
      <c r="AS99" s="1">
        <v>1115.6400000000001</v>
      </c>
      <c r="AT99" s="3">
        <v>70.657200000000003</v>
      </c>
      <c r="AU99" s="16">
        <v>1.6</v>
      </c>
      <c r="AV99" s="3">
        <v>9</v>
      </c>
      <c r="AW99" s="3">
        <v>33</v>
      </c>
    </row>
    <row r="100" spans="17:49" x14ac:dyDescent="0.35">
      <c r="Q100" t="s">
        <v>436</v>
      </c>
      <c r="R100" s="67">
        <v>2487.759</v>
      </c>
      <c r="U100" s="3" t="str">
        <v>Rush Hierlooms Collection 1" Thick Stackable Bookcases</v>
      </c>
      <c r="V100" s="1">
        <v>2487.759</v>
      </c>
      <c r="W100" s="1">
        <v>0</v>
      </c>
      <c r="X100" s="1"/>
      <c r="Y100" s="1"/>
      <c r="Z100" s="1"/>
      <c r="AC100" s="3" t="str">
        <f t="shared" si="13"/>
        <v/>
      </c>
      <c r="AE100" s="1"/>
      <c r="AG100" s="1"/>
      <c r="AK100" t="s">
        <v>219</v>
      </c>
      <c r="AL100" s="67">
        <v>437.7</v>
      </c>
      <c r="AM100" s="67">
        <v>163.11619999999999</v>
      </c>
      <c r="AN100" s="55">
        <v>0.6</v>
      </c>
      <c r="AO100" s="69">
        <v>4</v>
      </c>
      <c r="AP100" s="69">
        <v>18</v>
      </c>
      <c r="AR100" s="3" t="str">
        <v>Deflect-o SuperTray Unbreakable Stackable Tray, Letter, Black</v>
      </c>
      <c r="AS100" s="1">
        <v>437.7</v>
      </c>
      <c r="AT100" s="3">
        <v>163.11619999999999</v>
      </c>
      <c r="AU100" s="16">
        <v>0.6</v>
      </c>
      <c r="AV100" s="3">
        <v>4</v>
      </c>
      <c r="AW100" s="3">
        <v>18</v>
      </c>
    </row>
    <row r="101" spans="17:49" x14ac:dyDescent="0.35">
      <c r="Q101" t="s">
        <v>317</v>
      </c>
      <c r="R101" s="67">
        <v>2389.902</v>
      </c>
      <c r="U101" s="3" t="str">
        <v>Global Super Steno Chair</v>
      </c>
      <c r="V101" s="1">
        <v>2389.902</v>
      </c>
      <c r="W101" s="1">
        <v>0</v>
      </c>
      <c r="X101" s="1"/>
      <c r="Y101" s="1"/>
      <c r="Z101" s="1"/>
      <c r="AC101" s="3" t="str">
        <f t="shared" si="13"/>
        <v/>
      </c>
      <c r="AE101" s="1"/>
      <c r="AG101" s="1"/>
      <c r="AK101" t="s">
        <v>222</v>
      </c>
      <c r="AL101" s="67">
        <v>1002.936</v>
      </c>
      <c r="AM101" s="67">
        <v>0</v>
      </c>
      <c r="AN101" s="55">
        <v>1.2000000000000002</v>
      </c>
      <c r="AO101" s="69">
        <v>4</v>
      </c>
      <c r="AP101" s="69">
        <v>19</v>
      </c>
      <c r="AR101" s="3" t="str">
        <v>Eldon "L" Workstation Diamond Chairmat</v>
      </c>
      <c r="AS101" s="1">
        <v>1002.936</v>
      </c>
      <c r="AT101" s="3">
        <v>0</v>
      </c>
      <c r="AU101" s="16">
        <v>1.2000000000000002</v>
      </c>
      <c r="AV101" s="3">
        <v>4</v>
      </c>
      <c r="AW101" s="3">
        <v>19</v>
      </c>
    </row>
    <row r="102" spans="17:49" x14ac:dyDescent="0.35">
      <c r="Q102" t="s">
        <v>324</v>
      </c>
      <c r="R102" s="67">
        <v>2389.125</v>
      </c>
      <c r="U102" s="3" t="str">
        <v>Harbour Creations Steel Folding Chair</v>
      </c>
      <c r="V102" s="1">
        <v>2389.125</v>
      </c>
      <c r="W102" s="1">
        <v>0</v>
      </c>
      <c r="X102" s="1"/>
      <c r="Y102" s="1"/>
      <c r="Z102" s="1"/>
      <c r="AC102" s="3" t="str">
        <f t="shared" si="13"/>
        <v/>
      </c>
      <c r="AE102" s="1"/>
      <c r="AG102" s="1"/>
      <c r="AK102" t="s">
        <v>224</v>
      </c>
      <c r="AL102" s="67">
        <v>133.136</v>
      </c>
      <c r="AM102" s="67">
        <v>39.187199999999997</v>
      </c>
      <c r="AN102" s="55">
        <v>0.2</v>
      </c>
      <c r="AO102" s="69">
        <v>7</v>
      </c>
      <c r="AP102" s="69">
        <v>22</v>
      </c>
      <c r="AR102" s="3" t="str">
        <v>Eldon 200 Class Desk Accessories</v>
      </c>
      <c r="AS102" s="1">
        <v>133.136</v>
      </c>
      <c r="AT102" s="3">
        <v>39.187199999999997</v>
      </c>
      <c r="AU102" s="16">
        <v>0.2</v>
      </c>
      <c r="AV102" s="3">
        <v>7</v>
      </c>
      <c r="AW102" s="3">
        <v>22</v>
      </c>
    </row>
    <row r="103" spans="17:49" x14ac:dyDescent="0.35">
      <c r="Q103" t="s">
        <v>376</v>
      </c>
      <c r="R103" s="67">
        <v>2298.114</v>
      </c>
      <c r="U103" s="3" t="str">
        <v>Lesro Sheffield Collection Coffee Table, End Table, Center Table, Corner Table</v>
      </c>
      <c r="V103" s="1">
        <v>2298.114</v>
      </c>
      <c r="W103" s="1">
        <v>0</v>
      </c>
      <c r="X103" s="1"/>
      <c r="Y103" s="1"/>
      <c r="Z103" s="1"/>
      <c r="AC103" s="3" t="str">
        <f t="shared" si="13"/>
        <v/>
      </c>
      <c r="AE103" s="1"/>
      <c r="AG103" s="1"/>
      <c r="AK103" t="s">
        <v>231</v>
      </c>
      <c r="AL103" s="67">
        <v>563.03</v>
      </c>
      <c r="AM103" s="67">
        <v>56.302999999999997</v>
      </c>
      <c r="AN103" s="55">
        <v>0</v>
      </c>
      <c r="AO103" s="69">
        <v>5</v>
      </c>
      <c r="AP103" s="69">
        <v>13</v>
      </c>
      <c r="AR103" s="3" t="str">
        <v>Eldon Advantage Chair Mats for Low to Medium Pile Carpets</v>
      </c>
      <c r="AS103" s="1">
        <v>563.03</v>
      </c>
      <c r="AT103" s="3">
        <v>56.302999999999997</v>
      </c>
      <c r="AU103" s="16">
        <v>0</v>
      </c>
      <c r="AV103" s="3">
        <v>5</v>
      </c>
      <c r="AW103" s="3">
        <v>13</v>
      </c>
    </row>
    <row r="104" spans="17:49" x14ac:dyDescent="0.35">
      <c r="Q104" t="s">
        <v>154</v>
      </c>
      <c r="R104" s="67">
        <v>2297.538</v>
      </c>
      <c r="U104" s="3" t="str">
        <v>Bevis Round Conference Table Top &amp; Single Column Base</v>
      </c>
      <c r="V104" s="1">
        <v>2297.538</v>
      </c>
      <c r="W104" s="1">
        <v>0</v>
      </c>
      <c r="X104" s="1"/>
      <c r="Y104" s="1"/>
      <c r="Z104" s="1"/>
      <c r="AC104" s="3" t="str">
        <f t="shared" si="13"/>
        <v/>
      </c>
      <c r="AE104" s="1"/>
      <c r="AG104" s="1"/>
      <c r="AK104" t="s">
        <v>244</v>
      </c>
      <c r="AL104" s="67">
        <v>155.708</v>
      </c>
      <c r="AM104" s="67">
        <v>32.642400000000002</v>
      </c>
      <c r="AN104" s="55">
        <v>1</v>
      </c>
      <c r="AO104" s="69">
        <v>5</v>
      </c>
      <c r="AP104" s="69">
        <v>20</v>
      </c>
      <c r="AR104" s="3" t="str">
        <v>Eldon Expressions Punched Metal &amp; Wood Desk Accessories, Black &amp; Cherry</v>
      </c>
      <c r="AS104" s="1">
        <v>155.708</v>
      </c>
      <c r="AT104" s="3">
        <v>32.642400000000002</v>
      </c>
      <c r="AU104" s="16">
        <v>1</v>
      </c>
      <c r="AV104" s="3">
        <v>5</v>
      </c>
      <c r="AW104" s="3">
        <v>20</v>
      </c>
    </row>
    <row r="105" spans="17:49" x14ac:dyDescent="0.35">
      <c r="Q105" t="s">
        <v>470</v>
      </c>
      <c r="R105" s="67">
        <v>2267.9720000000002</v>
      </c>
      <c r="U105" s="3" t="str">
        <v>Tenex 46" x 60" Computer Anti-Static Chairmat, Rectangular Shaped</v>
      </c>
      <c r="V105" s="1">
        <v>2267.9720000000002</v>
      </c>
      <c r="W105" s="1">
        <v>0</v>
      </c>
      <c r="X105" s="1"/>
      <c r="Y105" s="1"/>
      <c r="Z105" s="1"/>
      <c r="AC105" s="3" t="str">
        <f t="shared" si="13"/>
        <v/>
      </c>
      <c r="AE105" s="1"/>
      <c r="AG105" s="1"/>
      <c r="AK105" t="s">
        <v>251</v>
      </c>
      <c r="AL105" s="67">
        <v>111.188</v>
      </c>
      <c r="AM105" s="67">
        <v>32.269599999999997</v>
      </c>
      <c r="AN105" s="55">
        <v>1</v>
      </c>
      <c r="AO105" s="69">
        <v>8</v>
      </c>
      <c r="AP105" s="69">
        <v>31</v>
      </c>
      <c r="AR105" s="3" t="str">
        <v>Eldon Image Series Desk Accessories, Burgundy</v>
      </c>
      <c r="AS105" s="1">
        <v>111.188</v>
      </c>
      <c r="AT105" s="3">
        <v>32.269599999999997</v>
      </c>
      <c r="AU105" s="16">
        <v>1</v>
      </c>
      <c r="AV105" s="3">
        <v>8</v>
      </c>
      <c r="AW105" s="3">
        <v>31</v>
      </c>
    </row>
    <row r="106" spans="17:49" x14ac:dyDescent="0.35">
      <c r="Q106" t="s">
        <v>159</v>
      </c>
      <c r="R106" s="67">
        <v>2241.8674999999998</v>
      </c>
      <c r="U106" s="3" t="str">
        <v>BPI Conference Tables</v>
      </c>
      <c r="V106" s="1">
        <v>2241.8674999999998</v>
      </c>
      <c r="W106" s="1">
        <v>0</v>
      </c>
      <c r="X106" s="1"/>
      <c r="Y106" s="1"/>
      <c r="Z106" s="1"/>
      <c r="AC106" s="3" t="str">
        <f t="shared" si="13"/>
        <v/>
      </c>
      <c r="AE106" s="1"/>
      <c r="AG106" s="1"/>
      <c r="AK106" t="s">
        <v>258</v>
      </c>
      <c r="AL106" s="67">
        <v>266.73</v>
      </c>
      <c r="AM106" s="67">
        <v>103.7116</v>
      </c>
      <c r="AN106" s="55">
        <v>2.2000000000000002</v>
      </c>
      <c r="AO106" s="69">
        <v>14</v>
      </c>
      <c r="AP106" s="69">
        <v>61</v>
      </c>
      <c r="AR106" s="3" t="str">
        <v>Eldon Wave Desk Accessories</v>
      </c>
      <c r="AS106" s="1">
        <v>266.73</v>
      </c>
      <c r="AT106" s="3">
        <v>103.7116</v>
      </c>
      <c r="AU106" s="16">
        <v>2.2000000000000002</v>
      </c>
      <c r="AV106" s="3">
        <v>14</v>
      </c>
      <c r="AW106" s="3">
        <v>61</v>
      </c>
    </row>
    <row r="107" spans="17:49" x14ac:dyDescent="0.35">
      <c r="Q107" t="s">
        <v>409</v>
      </c>
      <c r="R107" s="67">
        <v>2207.9560000000001</v>
      </c>
      <c r="U107" s="3" t="str">
        <v>Office Star - Ergonomic Mid Back Chair with 2-Way Adjustable Arms</v>
      </c>
      <c r="V107" s="1">
        <v>2207.9560000000001</v>
      </c>
      <c r="W107" s="1">
        <v>0</v>
      </c>
      <c r="X107" s="1"/>
      <c r="Y107" s="1"/>
      <c r="Z107" s="1"/>
      <c r="AC107" s="3" t="str">
        <f t="shared" si="13"/>
        <v/>
      </c>
      <c r="AE107" s="1"/>
      <c r="AG107" s="1"/>
      <c r="AK107" t="s">
        <v>262</v>
      </c>
      <c r="AL107" s="67">
        <v>2759.06</v>
      </c>
      <c r="AM107" s="67">
        <v>380.82799999999997</v>
      </c>
      <c r="AN107" s="55">
        <v>1.4</v>
      </c>
      <c r="AO107" s="69">
        <v>6</v>
      </c>
      <c r="AP107" s="69">
        <v>17</v>
      </c>
      <c r="AR107" s="3" t="str">
        <v>Electrix Halogen Magnifier Lamp</v>
      </c>
      <c r="AS107" s="1">
        <v>2759.06</v>
      </c>
      <c r="AT107" s="3">
        <v>380.82799999999997</v>
      </c>
      <c r="AU107" s="16">
        <v>1.4</v>
      </c>
      <c r="AV107" s="3">
        <v>6</v>
      </c>
      <c r="AW107" s="3">
        <v>17</v>
      </c>
    </row>
    <row r="108" spans="17:49" x14ac:dyDescent="0.35">
      <c r="Q108" t="s">
        <v>320</v>
      </c>
      <c r="R108" s="67">
        <v>2204.8620000000001</v>
      </c>
      <c r="U108" s="3" t="str">
        <v>Global Value Steno Chair, Gray</v>
      </c>
      <c r="V108" s="1">
        <v>2204.8620000000001</v>
      </c>
      <c r="W108" s="1">
        <v>0</v>
      </c>
      <c r="X108" s="1"/>
      <c r="Y108" s="1"/>
      <c r="Z108" s="1"/>
      <c r="AC108" s="3" t="str">
        <f t="shared" si="13"/>
        <v/>
      </c>
      <c r="AE108" s="1"/>
      <c r="AG108" s="1"/>
      <c r="AK108" t="s">
        <v>275</v>
      </c>
      <c r="AL108" s="67">
        <v>867.26</v>
      </c>
      <c r="AM108" s="67">
        <v>266.072</v>
      </c>
      <c r="AN108" s="55">
        <v>0.2</v>
      </c>
      <c r="AO108" s="69">
        <v>4</v>
      </c>
      <c r="AP108" s="69">
        <v>21</v>
      </c>
      <c r="AR108" s="3" t="str">
        <v>Executive Impressions Supervisor Wall Clock</v>
      </c>
      <c r="AS108" s="1">
        <v>867.26</v>
      </c>
      <c r="AT108" s="3">
        <v>266.072</v>
      </c>
      <c r="AU108" s="16">
        <v>0.2</v>
      </c>
      <c r="AV108" s="3">
        <v>4</v>
      </c>
      <c r="AW108" s="3">
        <v>21</v>
      </c>
    </row>
    <row r="109" spans="17:49" x14ac:dyDescent="0.35">
      <c r="Q109" t="s">
        <v>411</v>
      </c>
      <c r="R109" s="67">
        <v>2200.4639999999999</v>
      </c>
      <c r="U109" s="3" t="str">
        <v>Office Star - Mesh Screen back chair with Vinyl seat</v>
      </c>
      <c r="V109" s="1">
        <v>2200.4639999999999</v>
      </c>
      <c r="W109" s="1">
        <v>0</v>
      </c>
      <c r="X109" s="1"/>
      <c r="Y109" s="1"/>
      <c r="Z109" s="1"/>
      <c r="AC109" s="3" t="str">
        <f t="shared" si="13"/>
        <v/>
      </c>
      <c r="AE109" s="1"/>
      <c r="AG109" s="1"/>
      <c r="AK109" t="s">
        <v>276</v>
      </c>
      <c r="AL109" s="67">
        <v>678.24</v>
      </c>
      <c r="AM109" s="67">
        <v>188.77680000000001</v>
      </c>
      <c r="AN109" s="55">
        <v>3.6000000000000005</v>
      </c>
      <c r="AO109" s="69">
        <v>12</v>
      </c>
      <c r="AP109" s="69">
        <v>51</v>
      </c>
      <c r="AR109" s="3" t="str">
        <v>Flat Face Poster Frame</v>
      </c>
      <c r="AS109" s="1">
        <v>678.24</v>
      </c>
      <c r="AT109" s="3">
        <v>188.77680000000001</v>
      </c>
      <c r="AU109" s="16">
        <v>3.6000000000000005</v>
      </c>
      <c r="AV109" s="3">
        <v>12</v>
      </c>
      <c r="AW109" s="3">
        <v>51</v>
      </c>
    </row>
    <row r="110" spans="17:49" x14ac:dyDescent="0.35">
      <c r="Q110" t="s">
        <v>127</v>
      </c>
      <c r="R110" s="67">
        <v>2191.6799999999998</v>
      </c>
      <c r="U110" s="3" t="str">
        <v>3M Polarizing Task Lamp with Clamp Arm, Light Gray</v>
      </c>
      <c r="V110" s="1">
        <v>2191.6799999999998</v>
      </c>
      <c r="W110" s="1">
        <v>0</v>
      </c>
      <c r="X110" s="1"/>
      <c r="Y110" s="1"/>
      <c r="Z110" s="1"/>
      <c r="AC110" s="3" t="str">
        <f t="shared" si="13"/>
        <v/>
      </c>
      <c r="AE110" s="1"/>
      <c r="AG110" s="1"/>
      <c r="AK110" t="s">
        <v>277</v>
      </c>
      <c r="AL110" s="67">
        <v>434.56</v>
      </c>
      <c r="AM110" s="67">
        <v>199.238</v>
      </c>
      <c r="AN110" s="55">
        <v>0.8</v>
      </c>
      <c r="AO110" s="69">
        <v>6</v>
      </c>
      <c r="AP110" s="69">
        <v>24</v>
      </c>
      <c r="AR110" s="3" t="str">
        <v>Floodlight Indoor Halogen Bulbs, 1 Bulb per Pack, 60 Watts</v>
      </c>
      <c r="AS110" s="1">
        <v>434.56</v>
      </c>
      <c r="AT110" s="3">
        <v>199.238</v>
      </c>
      <c r="AU110" s="16">
        <v>0.8</v>
      </c>
      <c r="AV110" s="3">
        <v>6</v>
      </c>
      <c r="AW110" s="3">
        <v>24</v>
      </c>
    </row>
    <row r="111" spans="17:49" x14ac:dyDescent="0.35">
      <c r="Q111" t="s">
        <v>314</v>
      </c>
      <c r="R111" s="67">
        <v>2185.951</v>
      </c>
      <c r="U111" s="3" t="str">
        <v>Global Push Button Manager's Chair, Indigo</v>
      </c>
      <c r="V111" s="1">
        <v>2185.951</v>
      </c>
      <c r="W111" s="1">
        <v>0</v>
      </c>
      <c r="X111" s="1"/>
      <c r="Y111" s="1"/>
      <c r="Z111" s="1"/>
      <c r="AC111" s="3" t="str">
        <f t="shared" si="13"/>
        <v/>
      </c>
      <c r="AE111" s="1"/>
      <c r="AG111" s="1"/>
      <c r="AK111" t="s">
        <v>279</v>
      </c>
      <c r="AL111" s="67">
        <v>81.007999999999996</v>
      </c>
      <c r="AM111" s="67">
        <v>29.747199999999999</v>
      </c>
      <c r="AN111" s="55">
        <v>1.4</v>
      </c>
      <c r="AO111" s="69">
        <v>6</v>
      </c>
      <c r="AP111" s="69">
        <v>16</v>
      </c>
      <c r="AR111" s="3" t="str">
        <v>G.E. Longer-Life Indoor Recessed Floodlight Bulbs</v>
      </c>
      <c r="AS111" s="1">
        <v>81.007999999999996</v>
      </c>
      <c r="AT111" s="3">
        <v>29.747199999999999</v>
      </c>
      <c r="AU111" s="16">
        <v>1.4</v>
      </c>
      <c r="AV111" s="3">
        <v>6</v>
      </c>
      <c r="AW111" s="3">
        <v>16</v>
      </c>
    </row>
    <row r="112" spans="17:49" x14ac:dyDescent="0.35">
      <c r="Q112" t="s">
        <v>455</v>
      </c>
      <c r="R112" s="67">
        <v>2154.348</v>
      </c>
      <c r="U112" s="3" t="str">
        <v>Sauder Inglewood Library Bookcases</v>
      </c>
      <c r="V112" s="1">
        <v>2154.348</v>
      </c>
      <c r="W112" s="1">
        <v>0</v>
      </c>
      <c r="X112" s="1"/>
      <c r="Y112" s="1"/>
      <c r="Z112" s="1"/>
      <c r="AC112" s="3" t="str">
        <f t="shared" si="13"/>
        <v/>
      </c>
      <c r="AE112" s="1"/>
      <c r="AG112" s="1"/>
      <c r="AK112" t="s">
        <v>288</v>
      </c>
      <c r="AL112" s="67">
        <v>815.86400000000003</v>
      </c>
      <c r="AM112" s="67">
        <v>33.5944</v>
      </c>
      <c r="AN112" s="55">
        <v>1.6</v>
      </c>
      <c r="AO112" s="69">
        <v>6</v>
      </c>
      <c r="AP112" s="69">
        <v>32</v>
      </c>
      <c r="AR112" s="3" t="str">
        <v>Global Chrome Stack Chair</v>
      </c>
      <c r="AS112" s="1">
        <v>815.86400000000003</v>
      </c>
      <c r="AT112" s="3">
        <v>33.5944</v>
      </c>
      <c r="AU112" s="16">
        <v>1.6</v>
      </c>
      <c r="AV112" s="3">
        <v>6</v>
      </c>
      <c r="AW112" s="3">
        <v>32</v>
      </c>
    </row>
    <row r="113" spans="17:49" x14ac:dyDescent="0.35">
      <c r="Q113" t="s">
        <v>372</v>
      </c>
      <c r="R113" s="67">
        <v>2140.8780000000002</v>
      </c>
      <c r="U113" s="3" t="str">
        <v>KI Conference Tables</v>
      </c>
      <c r="V113" s="1">
        <v>2140.8780000000002</v>
      </c>
      <c r="W113" s="1">
        <v>0</v>
      </c>
      <c r="X113" s="1"/>
      <c r="Y113" s="1"/>
      <c r="Z113" s="1"/>
      <c r="AC113" s="3" t="str">
        <f t="shared" si="13"/>
        <v/>
      </c>
      <c r="AE113" s="1"/>
      <c r="AG113" s="1"/>
      <c r="AK113" t="s">
        <v>292</v>
      </c>
      <c r="AL113" s="67">
        <v>4420.0559999999996</v>
      </c>
      <c r="AM113" s="67">
        <v>97.6524</v>
      </c>
      <c r="AN113" s="55">
        <v>1.9000000000000001</v>
      </c>
      <c r="AO113" s="69">
        <v>7</v>
      </c>
      <c r="AP113" s="69">
        <v>24</v>
      </c>
      <c r="AR113" s="3" t="str">
        <v>Global Commerce Series Low-Back Swivel/Tilt Chairs</v>
      </c>
      <c r="AS113" s="1">
        <v>4420.0559999999996</v>
      </c>
      <c r="AT113" s="3">
        <v>97.6524</v>
      </c>
      <c r="AU113" s="16">
        <v>1.9000000000000001</v>
      </c>
      <c r="AV113" s="3">
        <v>7</v>
      </c>
      <c r="AW113" s="3">
        <v>24</v>
      </c>
    </row>
    <row r="114" spans="17:49" x14ac:dyDescent="0.35">
      <c r="Q114" t="s">
        <v>373</v>
      </c>
      <c r="R114" s="67">
        <v>2096.1680000000001</v>
      </c>
      <c r="U114" s="3" t="str">
        <v>Laminate Occasional Tables</v>
      </c>
      <c r="V114" s="1">
        <v>2096.1680000000001</v>
      </c>
      <c r="W114" s="1">
        <v>0</v>
      </c>
      <c r="X114" s="1"/>
      <c r="Y114" s="1"/>
      <c r="Z114" s="1"/>
      <c r="AC114" s="3" t="str">
        <f t="shared" si="13"/>
        <v/>
      </c>
      <c r="AE114" s="1"/>
      <c r="AG114" s="1"/>
      <c r="AK114" t="s">
        <v>297</v>
      </c>
      <c r="AL114" s="67">
        <v>1770.54</v>
      </c>
      <c r="AM114" s="67">
        <v>4.6188000000000002</v>
      </c>
      <c r="AN114" s="55">
        <v>2.1</v>
      </c>
      <c r="AO114" s="69">
        <v>10</v>
      </c>
      <c r="AP114" s="69">
        <v>29</v>
      </c>
      <c r="AR114" s="3" t="str">
        <v>Global Deluxe Steno Chair</v>
      </c>
      <c r="AS114" s="1">
        <v>1770.54</v>
      </c>
      <c r="AT114" s="3">
        <v>4.6188000000000002</v>
      </c>
      <c r="AU114" s="16">
        <v>2.1</v>
      </c>
      <c r="AV114" s="3">
        <v>10</v>
      </c>
      <c r="AW114" s="3">
        <v>29</v>
      </c>
    </row>
    <row r="115" spans="17:49" x14ac:dyDescent="0.35">
      <c r="Q115" t="s">
        <v>435</v>
      </c>
      <c r="R115" s="67">
        <v>2064.2280000000001</v>
      </c>
      <c r="U115" s="3" t="str">
        <v>Rubbermaid ClusterMat Chairmats, Mat Size- 66" x 60", Lip 20" x 11" -90 Degree Angle</v>
      </c>
      <c r="V115" s="1">
        <v>2064.2280000000001</v>
      </c>
      <c r="W115" s="1">
        <v>0</v>
      </c>
      <c r="X115" s="1"/>
      <c r="Y115" s="1"/>
      <c r="Z115" s="1"/>
      <c r="AC115" s="3" t="str">
        <f t="shared" si="13"/>
        <v/>
      </c>
      <c r="AE115" s="1"/>
      <c r="AG115" s="1"/>
      <c r="AK115" t="s">
        <v>303</v>
      </c>
      <c r="AL115" s="67">
        <v>1757.2660000000001</v>
      </c>
      <c r="AM115" s="67">
        <v>32.392000000000003</v>
      </c>
      <c r="AN115" s="55">
        <v>1.2</v>
      </c>
      <c r="AO115" s="69">
        <v>7</v>
      </c>
      <c r="AP115" s="69">
        <v>25</v>
      </c>
      <c r="AR115" s="3" t="str">
        <v>Global Geo Office Task Chair, Gray</v>
      </c>
      <c r="AS115" s="1">
        <v>1757.2660000000001</v>
      </c>
      <c r="AT115" s="3">
        <v>32.392000000000003</v>
      </c>
      <c r="AU115" s="16">
        <v>1.2</v>
      </c>
      <c r="AV115" s="3">
        <v>7</v>
      </c>
      <c r="AW115" s="3">
        <v>25</v>
      </c>
    </row>
    <row r="116" spans="17:49" x14ac:dyDescent="0.35">
      <c r="Q116" t="s">
        <v>474</v>
      </c>
      <c r="R116" s="67">
        <v>2058.4960000000001</v>
      </c>
      <c r="U116" s="3" t="str">
        <v>Tenex Chairmat w/ Average Lip, 45" x 53"</v>
      </c>
      <c r="V116" s="1">
        <v>2058.4960000000001</v>
      </c>
      <c r="W116" s="1">
        <v>0</v>
      </c>
      <c r="X116" s="1"/>
      <c r="Y116" s="1"/>
      <c r="Z116" s="1"/>
      <c r="AC116" s="3" t="str">
        <f t="shared" si="13"/>
        <v/>
      </c>
      <c r="AE116" s="1"/>
      <c r="AG116" s="1"/>
      <c r="AK116" t="s">
        <v>308</v>
      </c>
      <c r="AL116" s="67">
        <v>6410.8739999999998</v>
      </c>
      <c r="AM116" s="67">
        <v>881.87139999999999</v>
      </c>
      <c r="AN116" s="55">
        <v>1.4000000000000001</v>
      </c>
      <c r="AO116" s="69">
        <v>8</v>
      </c>
      <c r="AP116" s="69">
        <v>26</v>
      </c>
      <c r="AR116" s="3" t="str">
        <v>Global Leather and Oak Executive Chair, Black</v>
      </c>
      <c r="AS116" s="1">
        <v>6410.8739999999998</v>
      </c>
      <c r="AT116" s="3">
        <v>881.87139999999999</v>
      </c>
      <c r="AU116" s="16">
        <v>1.4000000000000001</v>
      </c>
      <c r="AV116" s="3">
        <v>8</v>
      </c>
      <c r="AW116" s="3">
        <v>26</v>
      </c>
    </row>
    <row r="117" spans="17:49" x14ac:dyDescent="0.35">
      <c r="Q117" t="s">
        <v>328</v>
      </c>
      <c r="R117" s="67">
        <v>2040.0540000000001</v>
      </c>
      <c r="U117" s="3" t="str">
        <v>Hon 2111 Invitation Series Straight Table</v>
      </c>
      <c r="V117" s="1">
        <v>2040.0540000000001</v>
      </c>
      <c r="W117" s="1">
        <v>0</v>
      </c>
      <c r="X117" s="1"/>
      <c r="Y117" s="1"/>
      <c r="Z117" s="1"/>
      <c r="AC117" s="3" t="str">
        <f t="shared" si="13"/>
        <v/>
      </c>
      <c r="AE117" s="1"/>
      <c r="AG117" s="1"/>
      <c r="AK117" t="s">
        <v>311</v>
      </c>
      <c r="AL117" s="67">
        <v>1448.8389999999999</v>
      </c>
      <c r="AM117" s="67">
        <v>76.491500000000002</v>
      </c>
      <c r="AN117" s="55">
        <v>1.1000000000000001</v>
      </c>
      <c r="AO117" s="69">
        <v>8</v>
      </c>
      <c r="AP117" s="69">
        <v>19</v>
      </c>
      <c r="AR117" s="3" t="str">
        <v>Global Leather Task Chair, Black</v>
      </c>
      <c r="AS117" s="1">
        <v>1448.8389999999999</v>
      </c>
      <c r="AT117" s="3">
        <v>76.491500000000002</v>
      </c>
      <c r="AU117" s="16">
        <v>1.1000000000000001</v>
      </c>
      <c r="AV117" s="3">
        <v>8</v>
      </c>
      <c r="AW117" s="3">
        <v>19</v>
      </c>
    </row>
    <row r="118" spans="17:49" x14ac:dyDescent="0.35">
      <c r="Q118" t="s">
        <v>157</v>
      </c>
      <c r="R118" s="67">
        <v>2033.4960000000001</v>
      </c>
      <c r="U118" s="3" t="str">
        <v>Bevis Traditional Conference Table Top, Plinth Base</v>
      </c>
      <c r="V118" s="1">
        <v>2033.4960000000001</v>
      </c>
      <c r="W118" s="1">
        <v>0</v>
      </c>
      <c r="X118" s="1"/>
      <c r="Y118" s="1"/>
      <c r="Z118" s="1"/>
      <c r="AC118" s="3" t="str">
        <f t="shared" si="13"/>
        <v/>
      </c>
      <c r="AE118" s="1"/>
      <c r="AG118" s="1"/>
      <c r="AK118" t="s">
        <v>314</v>
      </c>
      <c r="AL118" s="67">
        <v>2185.951</v>
      </c>
      <c r="AM118" s="67">
        <v>291.66309999999999</v>
      </c>
      <c r="AN118" s="55">
        <v>1.8000000000000003</v>
      </c>
      <c r="AO118" s="69">
        <v>9</v>
      </c>
      <c r="AP118" s="69">
        <v>44</v>
      </c>
      <c r="AR118" s="3" t="str">
        <v>Global Push Button Manager's Chair, Indigo</v>
      </c>
      <c r="AS118" s="1">
        <v>2185.951</v>
      </c>
      <c r="AT118" s="3">
        <v>291.66309999999999</v>
      </c>
      <c r="AU118" s="16">
        <v>1.8000000000000003</v>
      </c>
      <c r="AV118" s="3">
        <v>9</v>
      </c>
      <c r="AW118" s="3">
        <v>44</v>
      </c>
    </row>
    <row r="119" spans="17:49" x14ac:dyDescent="0.35">
      <c r="Q119" t="s">
        <v>298</v>
      </c>
      <c r="R119" s="67">
        <v>2032.35</v>
      </c>
      <c r="U119" s="3" t="str">
        <v>Global Enterprise Series Seating High-Back Swivel/Tilt Chairs</v>
      </c>
      <c r="V119" s="1">
        <v>2032.35</v>
      </c>
      <c r="W119" s="1">
        <v>0</v>
      </c>
      <c r="X119" s="1"/>
      <c r="Y119" s="1"/>
      <c r="Z119" s="1"/>
      <c r="AC119" s="3" t="str">
        <f t="shared" si="13"/>
        <v/>
      </c>
      <c r="AE119" s="1"/>
      <c r="AG119" s="1"/>
      <c r="AK119" t="s">
        <v>315</v>
      </c>
      <c r="AL119" s="67">
        <v>803.46400000000006</v>
      </c>
      <c r="AM119" s="67">
        <v>132.21180000000001</v>
      </c>
      <c r="AN119" s="55">
        <v>1</v>
      </c>
      <c r="AO119" s="69">
        <v>7</v>
      </c>
      <c r="AP119" s="69">
        <v>31</v>
      </c>
      <c r="AR119" s="3" t="str">
        <v>Global Stack Chair with Arms, Black</v>
      </c>
      <c r="AS119" s="1">
        <v>803.46400000000006</v>
      </c>
      <c r="AT119" s="3">
        <v>132.21180000000001</v>
      </c>
      <c r="AU119" s="16">
        <v>1</v>
      </c>
      <c r="AV119" s="3">
        <v>7</v>
      </c>
      <c r="AW119" s="3">
        <v>31</v>
      </c>
    </row>
    <row r="120" spans="17:49" x14ac:dyDescent="0.35">
      <c r="Q120" t="s">
        <v>319</v>
      </c>
      <c r="R120" s="67">
        <v>1978.925</v>
      </c>
      <c r="U120" s="3" t="str">
        <v>Global Value Mid-Back Manager's Chair, Gray</v>
      </c>
      <c r="V120" s="1">
        <v>1978.925</v>
      </c>
      <c r="W120" s="1">
        <v>0</v>
      </c>
      <c r="X120" s="1"/>
      <c r="Y120" s="1"/>
      <c r="Z120" s="1"/>
      <c r="AC120" s="3" t="str">
        <f t="shared" si="13"/>
        <v/>
      </c>
      <c r="AE120" s="1"/>
      <c r="AG120" s="1"/>
      <c r="AK120" t="s">
        <v>317</v>
      </c>
      <c r="AL120" s="67">
        <v>2389.902</v>
      </c>
      <c r="AM120" s="67">
        <v>127.6534</v>
      </c>
      <c r="AN120" s="55">
        <v>1.0000000000000002</v>
      </c>
      <c r="AO120" s="69">
        <v>7</v>
      </c>
      <c r="AP120" s="69">
        <v>30</v>
      </c>
      <c r="AR120" s="3" t="str">
        <v>Global Super Steno Chair</v>
      </c>
      <c r="AS120" s="1">
        <v>2389.902</v>
      </c>
      <c r="AT120" s="3">
        <v>127.6534</v>
      </c>
      <c r="AU120" s="16">
        <v>1.0000000000000002</v>
      </c>
      <c r="AV120" s="3">
        <v>7</v>
      </c>
      <c r="AW120" s="3">
        <v>30</v>
      </c>
    </row>
    <row r="121" spans="17:49" x14ac:dyDescent="0.35">
      <c r="Q121" t="s">
        <v>415</v>
      </c>
      <c r="R121" s="67">
        <v>1947.1769999999999</v>
      </c>
      <c r="U121" s="3" t="str">
        <v>Office Star Flex Back Scooter Chair with Aluminum Finish Frame</v>
      </c>
      <c r="V121" s="1">
        <v>1947.1769999999999</v>
      </c>
      <c r="W121" s="1">
        <v>0</v>
      </c>
      <c r="X121" s="1"/>
      <c r="Y121" s="1"/>
      <c r="Z121" s="1"/>
      <c r="AC121" s="3" t="str">
        <f t="shared" si="13"/>
        <v/>
      </c>
      <c r="AE121" s="1"/>
      <c r="AG121" s="1"/>
      <c r="AK121" t="s">
        <v>116</v>
      </c>
      <c r="AL121" s="67">
        <v>12975.382</v>
      </c>
      <c r="AM121" s="67">
        <v>1001.96</v>
      </c>
      <c r="AN121" s="55">
        <v>1.8</v>
      </c>
      <c r="AO121" s="69">
        <v>9</v>
      </c>
      <c r="AP121" s="69">
        <v>32</v>
      </c>
      <c r="AR121" s="3" t="str">
        <v>Global Troy Executive Leather Low-Back Tilter</v>
      </c>
      <c r="AS121" s="1">
        <v>12975.382</v>
      </c>
      <c r="AT121" s="3">
        <v>1001.96</v>
      </c>
      <c r="AU121" s="16">
        <v>1.8</v>
      </c>
      <c r="AV121" s="3">
        <v>9</v>
      </c>
      <c r="AW121" s="3">
        <v>32</v>
      </c>
    </row>
    <row r="122" spans="17:49" x14ac:dyDescent="0.35">
      <c r="Q122" t="s">
        <v>425</v>
      </c>
      <c r="R122" s="67">
        <v>1912.308</v>
      </c>
      <c r="U122" s="3" t="str">
        <v>O'Sullivan Elevations Bookcase, Cherry Finish</v>
      </c>
      <c r="V122" s="1">
        <v>1912.308</v>
      </c>
      <c r="W122" s="1">
        <v>0</v>
      </c>
      <c r="X122" s="1"/>
      <c r="Y122" s="1"/>
      <c r="Z122" s="1"/>
      <c r="AC122" s="3" t="str">
        <f t="shared" si="13"/>
        <v/>
      </c>
      <c r="AE122" s="1"/>
      <c r="AG122" s="1"/>
      <c r="AK122" t="s">
        <v>321</v>
      </c>
      <c r="AL122" s="67">
        <v>4166.884</v>
      </c>
      <c r="AM122" s="67">
        <v>79.152600000000007</v>
      </c>
      <c r="AN122" s="55">
        <v>3.1999999999999997</v>
      </c>
      <c r="AO122" s="69">
        <v>14</v>
      </c>
      <c r="AP122" s="69">
        <v>59</v>
      </c>
      <c r="AR122" s="3" t="str">
        <v>Global Wood Trimmed Manager's Task Chair, Khaki</v>
      </c>
      <c r="AS122" s="1">
        <v>4166.884</v>
      </c>
      <c r="AT122" s="3">
        <v>79.152600000000007</v>
      </c>
      <c r="AU122" s="16">
        <v>3.1999999999999997</v>
      </c>
      <c r="AV122" s="3">
        <v>14</v>
      </c>
      <c r="AW122" s="3">
        <v>59</v>
      </c>
    </row>
    <row r="123" spans="17:49" x14ac:dyDescent="0.35">
      <c r="Q123" t="s">
        <v>449</v>
      </c>
      <c r="R123" s="67">
        <v>1909.8178</v>
      </c>
      <c r="U123" s="3" t="str">
        <v>Sauder Camden County Collection Libraries, Planked Cherry Finish</v>
      </c>
      <c r="V123" s="1">
        <v>1909.8178</v>
      </c>
      <c r="W123" s="1">
        <v>0</v>
      </c>
      <c r="X123" s="1"/>
      <c r="Y123" s="1"/>
      <c r="Z123" s="1"/>
      <c r="AC123" s="3" t="str">
        <f t="shared" si="13"/>
        <v/>
      </c>
      <c r="AE123" s="1"/>
      <c r="AG123" s="1"/>
      <c r="AK123" t="s">
        <v>323</v>
      </c>
      <c r="AL123" s="67">
        <v>1501.8979999999999</v>
      </c>
      <c r="AM123" s="67">
        <v>263.36599999999999</v>
      </c>
      <c r="AN123" s="55">
        <v>1.1000000000000001</v>
      </c>
      <c r="AO123" s="69">
        <v>8</v>
      </c>
      <c r="AP123" s="69">
        <v>24</v>
      </c>
      <c r="AR123" s="3" t="str">
        <v>Harbour Creations 67200 Series Stacking Chairs</v>
      </c>
      <c r="AS123" s="1">
        <v>1501.8979999999999</v>
      </c>
      <c r="AT123" s="3">
        <v>263.36599999999999</v>
      </c>
      <c r="AU123" s="16">
        <v>1.1000000000000001</v>
      </c>
      <c r="AV123" s="3">
        <v>8</v>
      </c>
      <c r="AW123" s="3">
        <v>24</v>
      </c>
    </row>
    <row r="124" spans="17:49" x14ac:dyDescent="0.35">
      <c r="Q124" t="s">
        <v>146</v>
      </c>
      <c r="R124" s="67">
        <v>1897.8101999999999</v>
      </c>
      <c r="U124" s="3" t="str">
        <v>Bestar Classic Bookcase</v>
      </c>
      <c r="V124" s="1">
        <v>1897.8101999999999</v>
      </c>
      <c r="W124" s="1">
        <v>0</v>
      </c>
      <c r="X124" s="1"/>
      <c r="Y124" s="1"/>
      <c r="Z124" s="1"/>
      <c r="AC124" s="3" t="str">
        <f t="shared" si="13"/>
        <v/>
      </c>
      <c r="AE124" s="1"/>
      <c r="AG124" s="1"/>
      <c r="AK124" t="s">
        <v>328</v>
      </c>
      <c r="AL124" s="67">
        <v>2040.0540000000001</v>
      </c>
      <c r="AM124" s="67">
        <v>112.35080000000001</v>
      </c>
      <c r="AN124" s="55">
        <v>1.9000000000000001</v>
      </c>
      <c r="AO124" s="69">
        <v>7</v>
      </c>
      <c r="AP124" s="69">
        <v>18</v>
      </c>
      <c r="AR124" s="3" t="str">
        <v>Hon 2111 Invitation Series Straight Table</v>
      </c>
      <c r="AS124" s="1">
        <v>2040.0540000000001</v>
      </c>
      <c r="AT124" s="3">
        <v>112.35080000000001</v>
      </c>
      <c r="AU124" s="16">
        <v>1.9000000000000001</v>
      </c>
      <c r="AV124" s="3">
        <v>7</v>
      </c>
      <c r="AW124" s="3">
        <v>18</v>
      </c>
    </row>
    <row r="125" spans="17:49" x14ac:dyDescent="0.35">
      <c r="Q125" t="s">
        <v>395</v>
      </c>
      <c r="R125" s="67">
        <v>1890.38</v>
      </c>
      <c r="U125" s="3" t="str">
        <v>Novimex Fabric Task Chair</v>
      </c>
      <c r="V125" s="1">
        <v>1890.38</v>
      </c>
      <c r="W125" s="1">
        <v>0</v>
      </c>
      <c r="X125" s="1"/>
      <c r="Y125" s="1"/>
      <c r="Z125" s="1"/>
      <c r="AC125" s="3" t="str">
        <f t="shared" si="13"/>
        <v/>
      </c>
      <c r="AE125" s="1"/>
      <c r="AG125" s="1"/>
      <c r="AK125" t="s">
        <v>331</v>
      </c>
      <c r="AL125" s="67">
        <v>8430.9969999999994</v>
      </c>
      <c r="AM125" s="67">
        <v>1400.3040000000001</v>
      </c>
      <c r="AN125" s="55">
        <v>1.5000000000000002</v>
      </c>
      <c r="AO125" s="69">
        <v>8</v>
      </c>
      <c r="AP125" s="69">
        <v>34</v>
      </c>
      <c r="AR125" s="3" t="str">
        <v>Hon 4070 Series Pagoda Armless Upholstered Stacking Chairs</v>
      </c>
      <c r="AS125" s="1">
        <v>8430.9969999999994</v>
      </c>
      <c r="AT125" s="3">
        <v>1400.3040000000001</v>
      </c>
      <c r="AU125" s="16">
        <v>1.5000000000000002</v>
      </c>
      <c r="AV125" s="3">
        <v>8</v>
      </c>
      <c r="AW125" s="3">
        <v>34</v>
      </c>
    </row>
    <row r="126" spans="17:49" x14ac:dyDescent="0.35">
      <c r="Q126" t="s">
        <v>454</v>
      </c>
      <c r="R126" s="67">
        <v>1875.0340000000001</v>
      </c>
      <c r="U126" s="3" t="str">
        <v>Sauder Forest Hills Library, Woodland Oak Finish</v>
      </c>
      <c r="V126" s="1">
        <v>1875.0340000000001</v>
      </c>
      <c r="W126" s="1">
        <v>0</v>
      </c>
      <c r="X126" s="1"/>
      <c r="Y126" s="1"/>
      <c r="Z126" s="1"/>
      <c r="AC126" s="3" t="str">
        <f t="shared" si="13"/>
        <v/>
      </c>
      <c r="AE126" s="1"/>
      <c r="AG126" s="1"/>
      <c r="AK126" t="s">
        <v>118</v>
      </c>
      <c r="AL126" s="67">
        <v>21870.576000000001</v>
      </c>
      <c r="AM126" s="67">
        <v>1121.568</v>
      </c>
      <c r="AN126" s="55">
        <v>1.6000000000000003</v>
      </c>
      <c r="AO126" s="69">
        <v>8</v>
      </c>
      <c r="AP126" s="69">
        <v>39</v>
      </c>
      <c r="AR126" s="3" t="str">
        <v>HON 5400 Series Task Chairs for Big and Tall</v>
      </c>
      <c r="AS126" s="1">
        <v>21870.576000000001</v>
      </c>
      <c r="AT126" s="3">
        <v>1121.568</v>
      </c>
      <c r="AU126" s="16">
        <v>1.6000000000000003</v>
      </c>
      <c r="AV126" s="3">
        <v>8</v>
      </c>
      <c r="AW126" s="3">
        <v>39</v>
      </c>
    </row>
    <row r="127" spans="17:49" x14ac:dyDescent="0.35">
      <c r="Q127" t="s">
        <v>406</v>
      </c>
      <c r="R127" s="67">
        <v>1842.268</v>
      </c>
      <c r="U127" s="3" t="str">
        <v>Office Star - Contemporary Task Swivel Chair</v>
      </c>
      <c r="V127" s="1">
        <v>1842.268</v>
      </c>
      <c r="W127" s="1">
        <v>0</v>
      </c>
      <c r="X127" s="1"/>
      <c r="Y127" s="1"/>
      <c r="Z127" s="1"/>
      <c r="AC127" s="3" t="str">
        <f t="shared" si="13"/>
        <v/>
      </c>
      <c r="AE127" s="1"/>
      <c r="AG127" s="1"/>
      <c r="AK127" t="s">
        <v>336</v>
      </c>
      <c r="AL127" s="67">
        <v>653.12099999999998</v>
      </c>
      <c r="AM127" s="67">
        <v>0</v>
      </c>
      <c r="AN127" s="55">
        <v>2.8</v>
      </c>
      <c r="AO127" s="69">
        <v>9</v>
      </c>
      <c r="AP127" s="69">
        <v>22</v>
      </c>
      <c r="AR127" s="3" t="str">
        <v>Hon 61000 Series Interactive Training Tables</v>
      </c>
      <c r="AS127" s="1">
        <v>653.12099999999998</v>
      </c>
      <c r="AT127" s="3">
        <v>0</v>
      </c>
      <c r="AU127" s="16">
        <v>2.8</v>
      </c>
      <c r="AV127" s="3">
        <v>9</v>
      </c>
      <c r="AW127" s="3">
        <v>22</v>
      </c>
    </row>
    <row r="128" spans="17:49" x14ac:dyDescent="0.35">
      <c r="Q128" t="s">
        <v>431</v>
      </c>
      <c r="R128" s="67">
        <v>1830.1479999999999</v>
      </c>
      <c r="U128" s="3" t="str">
        <v>Padded Folding Chairs, Black, 4/Carton</v>
      </c>
      <c r="V128" s="1">
        <v>1830.1479999999999</v>
      </c>
      <c r="W128" s="1">
        <v>0</v>
      </c>
      <c r="X128" s="1"/>
      <c r="Y128" s="1"/>
      <c r="Z128" s="1"/>
      <c r="AC128" s="3" t="str">
        <f t="shared" si="13"/>
        <v/>
      </c>
      <c r="AE128" s="1"/>
      <c r="AG128" s="1"/>
      <c r="AK128" t="s">
        <v>337</v>
      </c>
      <c r="AL128" s="67">
        <v>7404.5</v>
      </c>
      <c r="AM128" s="67">
        <v>346.53059999999999</v>
      </c>
      <c r="AN128" s="55">
        <v>0.8</v>
      </c>
      <c r="AO128" s="69">
        <v>5</v>
      </c>
      <c r="AP128" s="69">
        <v>30</v>
      </c>
      <c r="AR128" s="3" t="str">
        <v>Hon 94000 Series Round Tables</v>
      </c>
      <c r="AS128" s="1">
        <v>7404.5</v>
      </c>
      <c r="AT128" s="3">
        <v>346.53059999999999</v>
      </c>
      <c r="AU128" s="16">
        <v>0.8</v>
      </c>
      <c r="AV128" s="3">
        <v>5</v>
      </c>
      <c r="AW128" s="3">
        <v>30</v>
      </c>
    </row>
    <row r="129" spans="17:49" x14ac:dyDescent="0.35">
      <c r="Q129" t="s">
        <v>416</v>
      </c>
      <c r="R129" s="67">
        <v>1775.68</v>
      </c>
      <c r="U129" s="3" t="str">
        <v>Office Star Flex Back Scooter Chair with White Frame</v>
      </c>
      <c r="V129" s="1">
        <v>1775.68</v>
      </c>
      <c r="W129" s="1">
        <v>0</v>
      </c>
      <c r="X129" s="1"/>
      <c r="Y129" s="1"/>
      <c r="Z129" s="1"/>
      <c r="AC129" s="3" t="str">
        <f t="shared" si="13"/>
        <v/>
      </c>
      <c r="AE129" s="1"/>
      <c r="AG129" s="1"/>
      <c r="AK129" t="s">
        <v>343</v>
      </c>
      <c r="AL129" s="67">
        <v>6936.1019999999999</v>
      </c>
      <c r="AM129" s="67">
        <v>1233.0848000000001</v>
      </c>
      <c r="AN129" s="55">
        <v>1</v>
      </c>
      <c r="AO129" s="69">
        <v>9</v>
      </c>
      <c r="AP129" s="69">
        <v>34</v>
      </c>
      <c r="AR129" s="3" t="str">
        <v>Hon GuestStacker Chair</v>
      </c>
      <c r="AS129" s="1">
        <v>6936.1019999999999</v>
      </c>
      <c r="AT129" s="3">
        <v>1233.0848000000001</v>
      </c>
      <c r="AU129" s="16">
        <v>1</v>
      </c>
      <c r="AV129" s="3">
        <v>9</v>
      </c>
      <c r="AW129" s="3">
        <v>34</v>
      </c>
    </row>
    <row r="130" spans="17:49" x14ac:dyDescent="0.35">
      <c r="Q130" t="s">
        <v>156</v>
      </c>
      <c r="R130" s="67">
        <v>1775.075</v>
      </c>
      <c r="U130" s="3" t="str">
        <v>Bevis Steel Folding Chairs</v>
      </c>
      <c r="V130" s="1">
        <v>1775.075</v>
      </c>
      <c r="W130" s="1">
        <v>0</v>
      </c>
      <c r="X130" s="1"/>
      <c r="Y130" s="1"/>
      <c r="Z130" s="1"/>
      <c r="AC130" s="3" t="str">
        <f t="shared" si="13"/>
        <v/>
      </c>
      <c r="AE130" s="1"/>
      <c r="AG130" s="1"/>
      <c r="AK130" t="s">
        <v>347</v>
      </c>
      <c r="AL130" s="67">
        <v>2705.78</v>
      </c>
      <c r="AM130" s="67">
        <v>499.33940000000001</v>
      </c>
      <c r="AN130" s="55">
        <v>0.2</v>
      </c>
      <c r="AO130" s="69">
        <v>5</v>
      </c>
      <c r="AP130" s="69">
        <v>23</v>
      </c>
      <c r="AR130" s="3" t="str">
        <v>Hon Mobius Operator's Chair</v>
      </c>
      <c r="AS130" s="1">
        <v>2705.78</v>
      </c>
      <c r="AT130" s="3">
        <v>499.33940000000001</v>
      </c>
      <c r="AU130" s="16">
        <v>0.2</v>
      </c>
      <c r="AV130" s="3">
        <v>5</v>
      </c>
      <c r="AW130" s="3">
        <v>23</v>
      </c>
    </row>
    <row r="131" spans="17:49" x14ac:dyDescent="0.35">
      <c r="Q131" t="s">
        <v>297</v>
      </c>
      <c r="R131" s="67">
        <v>1770.54</v>
      </c>
      <c r="U131" s="3" t="str">
        <v>Global Deluxe Steno Chair</v>
      </c>
      <c r="V131" s="1">
        <v>1770.54</v>
      </c>
      <c r="W131" s="1">
        <v>0</v>
      </c>
      <c r="X131" s="1"/>
      <c r="Y131" s="1"/>
      <c r="Z131" s="1"/>
      <c r="AC131" s="3" t="str">
        <f t="shared" si="13"/>
        <v/>
      </c>
      <c r="AE131" s="1"/>
      <c r="AG131" s="1"/>
      <c r="AK131" t="s">
        <v>348</v>
      </c>
      <c r="AL131" s="67">
        <v>6584.64</v>
      </c>
      <c r="AM131" s="67">
        <v>935.71199999999999</v>
      </c>
      <c r="AN131" s="55">
        <v>0.8</v>
      </c>
      <c r="AO131" s="69">
        <v>6</v>
      </c>
      <c r="AP131" s="69">
        <v>36</v>
      </c>
      <c r="AR131" s="3" t="str">
        <v>Hon Multipurpose Stacking Arm Chairs</v>
      </c>
      <c r="AS131" s="1">
        <v>6584.64</v>
      </c>
      <c r="AT131" s="3">
        <v>935.71199999999999</v>
      </c>
      <c r="AU131" s="16">
        <v>0.8</v>
      </c>
      <c r="AV131" s="3">
        <v>6</v>
      </c>
      <c r="AW131" s="3">
        <v>36</v>
      </c>
    </row>
    <row r="132" spans="17:49" x14ac:dyDescent="0.35">
      <c r="Q132" t="s">
        <v>303</v>
      </c>
      <c r="R132" s="67">
        <v>1757.2660000000001</v>
      </c>
      <c r="U132" s="3" t="str">
        <v>Global Geo Office Task Chair, Gray</v>
      </c>
      <c r="V132" s="1">
        <v>1757.2660000000001</v>
      </c>
      <c r="W132" s="1">
        <v>0</v>
      </c>
      <c r="X132" s="1"/>
      <c r="Y132" s="1"/>
      <c r="Z132" s="1"/>
      <c r="AC132" s="3" t="str">
        <f t="shared" si="13"/>
        <v/>
      </c>
      <c r="AE132" s="1"/>
      <c r="AG132" s="1"/>
      <c r="AK132" t="s">
        <v>351</v>
      </c>
      <c r="AL132" s="67">
        <v>5294.4560000000001</v>
      </c>
      <c r="AM132" s="67">
        <v>847.67619999999999</v>
      </c>
      <c r="AN132" s="55">
        <v>1.6</v>
      </c>
      <c r="AO132" s="69">
        <v>10</v>
      </c>
      <c r="AP132" s="69">
        <v>44</v>
      </c>
      <c r="AR132" s="3" t="str">
        <v>Hon Olson Stacker Stools</v>
      </c>
      <c r="AS132" s="1">
        <v>5294.4560000000001</v>
      </c>
      <c r="AT132" s="3">
        <v>847.67619999999999</v>
      </c>
      <c r="AU132" s="16">
        <v>1.6</v>
      </c>
      <c r="AV132" s="3">
        <v>10</v>
      </c>
      <c r="AW132" s="3">
        <v>44</v>
      </c>
    </row>
    <row r="133" spans="17:49" x14ac:dyDescent="0.35">
      <c r="Q133" t="s">
        <v>312</v>
      </c>
      <c r="R133" s="67">
        <v>1746.954</v>
      </c>
      <c r="U133" s="3" t="str">
        <v>Global Low Back Tilter Chair</v>
      </c>
      <c r="V133" s="1">
        <v>1746.954</v>
      </c>
      <c r="W133" s="1">
        <v>0</v>
      </c>
      <c r="X133" s="1"/>
      <c r="Y133" s="1"/>
      <c r="Z133" s="1"/>
      <c r="AC133" s="3" t="str">
        <f t="shared" ref="AC133:AC196" si="14">IF(Z133=$AE$26,$AE$27,"")</f>
        <v/>
      </c>
      <c r="AE133" s="1"/>
      <c r="AG133" s="1"/>
      <c r="AK133" t="s">
        <v>352</v>
      </c>
      <c r="AL133" s="67">
        <v>6483.7960000000003</v>
      </c>
      <c r="AM133" s="67">
        <v>1540.704</v>
      </c>
      <c r="AN133" s="55">
        <v>0.4</v>
      </c>
      <c r="AO133" s="69">
        <v>4</v>
      </c>
      <c r="AP133" s="69">
        <v>22</v>
      </c>
      <c r="AR133" s="3" t="str">
        <v>Hon Pagoda Stacking Chairs</v>
      </c>
      <c r="AS133" s="1">
        <v>6483.7960000000003</v>
      </c>
      <c r="AT133" s="3">
        <v>1540.704</v>
      </c>
      <c r="AU133" s="16">
        <v>0.4</v>
      </c>
      <c r="AV133" s="3">
        <v>4</v>
      </c>
      <c r="AW133" s="3">
        <v>22</v>
      </c>
    </row>
    <row r="134" spans="17:49" x14ac:dyDescent="0.35">
      <c r="Q134" t="s">
        <v>158</v>
      </c>
      <c r="R134" s="67">
        <v>1706.25</v>
      </c>
      <c r="U134" s="3" t="str">
        <v>BoxOffice By Design Rectangular and Half-Moon Meeting Room Tables</v>
      </c>
      <c r="V134" s="1">
        <v>1706.25</v>
      </c>
      <c r="W134" s="1">
        <v>0</v>
      </c>
      <c r="X134" s="1"/>
      <c r="Y134" s="1"/>
      <c r="Z134" s="1"/>
      <c r="AC134" s="3" t="str">
        <f t="shared" si="14"/>
        <v/>
      </c>
      <c r="AE134" s="1"/>
      <c r="AG134" s="1"/>
      <c r="AK134" t="s">
        <v>353</v>
      </c>
      <c r="AL134" s="67">
        <v>4334.8275000000003</v>
      </c>
      <c r="AM134" s="67">
        <v>709.95600000000002</v>
      </c>
      <c r="AN134" s="55">
        <v>1.05</v>
      </c>
      <c r="AO134" s="69">
        <v>6</v>
      </c>
      <c r="AP134" s="69">
        <v>22</v>
      </c>
      <c r="AR134" s="3" t="str">
        <v>Hon Practical Foundations 30 x 60 Training Table, Light Gray/Charcoal</v>
      </c>
      <c r="AS134" s="1">
        <v>4334.8275000000003</v>
      </c>
      <c r="AT134" s="3">
        <v>709.95600000000002</v>
      </c>
      <c r="AU134" s="16">
        <v>1.05</v>
      </c>
      <c r="AV134" s="3">
        <v>6</v>
      </c>
      <c r="AW134" s="3">
        <v>22</v>
      </c>
    </row>
    <row r="135" spans="17:49" x14ac:dyDescent="0.35">
      <c r="Q135" t="s">
        <v>307</v>
      </c>
      <c r="R135" s="67">
        <v>1689.9680000000001</v>
      </c>
      <c r="U135" s="3" t="str">
        <v>Global Leather &amp; Oak Executive Chair, Burgundy</v>
      </c>
      <c r="V135" s="1">
        <v>1689.9680000000001</v>
      </c>
      <c r="W135" s="1">
        <v>0</v>
      </c>
      <c r="X135" s="1"/>
      <c r="Y135" s="1"/>
      <c r="Z135" s="1"/>
      <c r="AC135" s="3" t="str">
        <f t="shared" si="14"/>
        <v/>
      </c>
      <c r="AE135" s="1"/>
      <c r="AG135" s="1"/>
      <c r="AK135" t="s">
        <v>355</v>
      </c>
      <c r="AL135" s="67">
        <v>3481.5149999999999</v>
      </c>
      <c r="AM135" s="67">
        <v>386.83499999999998</v>
      </c>
      <c r="AN135" s="55">
        <v>1.3</v>
      </c>
      <c r="AO135" s="69">
        <v>4</v>
      </c>
      <c r="AP135" s="69">
        <v>20</v>
      </c>
      <c r="AR135" s="3" t="str">
        <v>Hon Rectangular Conference Tables</v>
      </c>
      <c r="AS135" s="1">
        <v>3481.5149999999999</v>
      </c>
      <c r="AT135" s="3">
        <v>386.83499999999998</v>
      </c>
      <c r="AU135" s="16">
        <v>1.3</v>
      </c>
      <c r="AV135" s="3">
        <v>4</v>
      </c>
      <c r="AW135" s="3">
        <v>20</v>
      </c>
    </row>
    <row r="136" spans="17:49" x14ac:dyDescent="0.35">
      <c r="Q136" t="s">
        <v>338</v>
      </c>
      <c r="R136" s="67">
        <v>1686.904</v>
      </c>
      <c r="U136" s="3" t="str">
        <v>Hon Comfortask Task/Swivel Chairs</v>
      </c>
      <c r="V136" s="1">
        <v>1686.904</v>
      </c>
      <c r="W136" s="1">
        <v>0</v>
      </c>
      <c r="X136" s="1"/>
      <c r="Y136" s="1"/>
      <c r="Z136" s="1"/>
      <c r="AC136" s="3" t="str">
        <f t="shared" si="14"/>
        <v/>
      </c>
      <c r="AE136" s="1"/>
      <c r="AG136" s="1"/>
      <c r="AK136" t="s">
        <v>356</v>
      </c>
      <c r="AL136" s="67">
        <v>1242.0540000000001</v>
      </c>
      <c r="AM136" s="67">
        <v>147.4308</v>
      </c>
      <c r="AN136" s="55">
        <v>0.30000000000000004</v>
      </c>
      <c r="AO136" s="69">
        <v>4</v>
      </c>
      <c r="AP136" s="69">
        <v>13</v>
      </c>
      <c r="AR136" s="3" t="str">
        <v>Hon Valutask Swivel Chairs</v>
      </c>
      <c r="AS136" s="1">
        <v>1242.0540000000001</v>
      </c>
      <c r="AT136" s="3">
        <v>147.4308</v>
      </c>
      <c r="AU136" s="16">
        <v>0.30000000000000004</v>
      </c>
      <c r="AV136" s="3">
        <v>4</v>
      </c>
      <c r="AW136" s="3">
        <v>13</v>
      </c>
    </row>
    <row r="137" spans="17:49" x14ac:dyDescent="0.35">
      <c r="Q137" t="s">
        <v>212</v>
      </c>
      <c r="R137" s="67">
        <v>1685.44</v>
      </c>
      <c r="U137" s="3" t="str">
        <v>Deflect-o DuraMat Antistatic Studded Beveled Mat for Medium Pile Carpeting</v>
      </c>
      <c r="V137" s="1">
        <v>1685.44</v>
      </c>
      <c r="W137" s="1">
        <v>0</v>
      </c>
      <c r="X137" s="1"/>
      <c r="Y137" s="1"/>
      <c r="Z137" s="1"/>
      <c r="AC137" s="3" t="str">
        <f t="shared" si="14"/>
        <v/>
      </c>
      <c r="AE137" s="1"/>
      <c r="AG137" s="1"/>
      <c r="AK137" t="s">
        <v>358</v>
      </c>
      <c r="AL137" s="67">
        <v>500.30799999999999</v>
      </c>
      <c r="AM137" s="67">
        <v>135.4282</v>
      </c>
      <c r="AN137" s="55">
        <v>1</v>
      </c>
      <c r="AO137" s="69">
        <v>6</v>
      </c>
      <c r="AP137" s="69">
        <v>14</v>
      </c>
      <c r="AR137" s="3" t="str">
        <v>Howard Miller 11-1/2" Diameter Grantwood Wall Clock</v>
      </c>
      <c r="AS137" s="1">
        <v>500.30799999999999</v>
      </c>
      <c r="AT137" s="3">
        <v>135.4282</v>
      </c>
      <c r="AU137" s="16">
        <v>1</v>
      </c>
      <c r="AV137" s="3">
        <v>6</v>
      </c>
      <c r="AW137" s="3">
        <v>14</v>
      </c>
    </row>
    <row r="138" spans="17:49" x14ac:dyDescent="0.35">
      <c r="Q138" t="s">
        <v>429</v>
      </c>
      <c r="R138" s="67">
        <v>1646.9179999999999</v>
      </c>
      <c r="U138" s="3" t="str">
        <v>O'Sullivan Manor Hill 2-Door Library in Brianna Oak</v>
      </c>
      <c r="V138" s="1">
        <v>1646.9179999999999</v>
      </c>
      <c r="W138" s="1">
        <v>0</v>
      </c>
      <c r="X138" s="1"/>
      <c r="Y138" s="1"/>
      <c r="Z138" s="1"/>
      <c r="AC138" s="3" t="str">
        <f t="shared" si="14"/>
        <v/>
      </c>
      <c r="AE138" s="1"/>
      <c r="AG138" s="1"/>
      <c r="AK138" t="s">
        <v>367</v>
      </c>
      <c r="AL138" s="67">
        <v>575.46</v>
      </c>
      <c r="AM138" s="67">
        <v>174.55619999999999</v>
      </c>
      <c r="AN138" s="55">
        <v>0.6</v>
      </c>
      <c r="AO138" s="69">
        <v>4</v>
      </c>
      <c r="AP138" s="69">
        <v>12</v>
      </c>
      <c r="AR138" s="3" t="str">
        <v>Howard Miller 16" Diameter Gallery Wall Clock</v>
      </c>
      <c r="AS138" s="1">
        <v>575.46</v>
      </c>
      <c r="AT138" s="3">
        <v>174.55619999999999</v>
      </c>
      <c r="AU138" s="16">
        <v>0.6</v>
      </c>
      <c r="AV138" s="3">
        <v>4</v>
      </c>
      <c r="AW138" s="3">
        <v>12</v>
      </c>
    </row>
    <row r="139" spans="17:49" x14ac:dyDescent="0.35">
      <c r="Q139" t="s">
        <v>366</v>
      </c>
      <c r="R139" s="67">
        <v>1636.864</v>
      </c>
      <c r="U139" s="3" t="str">
        <v>Howard Miller 14-1/2" Diameter Chrome Round Wall Clock</v>
      </c>
      <c r="V139" s="1">
        <v>1636.864</v>
      </c>
      <c r="W139" s="1">
        <v>0</v>
      </c>
      <c r="X139" s="1"/>
      <c r="Y139" s="1"/>
      <c r="Z139" s="1"/>
      <c r="AC139" s="3" t="str">
        <f t="shared" si="14"/>
        <v/>
      </c>
      <c r="AE139" s="1"/>
      <c r="AG139" s="1"/>
      <c r="AK139" t="s">
        <v>368</v>
      </c>
      <c r="AL139" s="67">
        <v>531.94799999999998</v>
      </c>
      <c r="AM139" s="67">
        <v>202.63380000000001</v>
      </c>
      <c r="AN139" s="55">
        <v>0.8</v>
      </c>
      <c r="AO139" s="69">
        <v>6</v>
      </c>
      <c r="AP139" s="69">
        <v>21</v>
      </c>
      <c r="AR139" s="3" t="str">
        <v>Howard Miller Distant Time Traveler Alarm Clock</v>
      </c>
      <c r="AS139" s="1">
        <v>531.94799999999998</v>
      </c>
      <c r="AT139" s="3">
        <v>202.63380000000001</v>
      </c>
      <c r="AU139" s="16">
        <v>0.8</v>
      </c>
      <c r="AV139" s="3">
        <v>6</v>
      </c>
      <c r="AW139" s="3">
        <v>21</v>
      </c>
    </row>
    <row r="140" spans="17:49" x14ac:dyDescent="0.35">
      <c r="Q140" t="s">
        <v>218</v>
      </c>
      <c r="R140" s="67">
        <v>1623.248</v>
      </c>
      <c r="U140" s="3" t="str">
        <v>Deflect-o RollaMat Studded, Beveled Mat for Medium Pile Carpeting</v>
      </c>
      <c r="V140" s="1">
        <v>1623.248</v>
      </c>
      <c r="W140" s="1">
        <v>0</v>
      </c>
      <c r="X140" s="1"/>
      <c r="Y140" s="1"/>
      <c r="Z140" s="1"/>
      <c r="AC140" s="3" t="str">
        <f t="shared" si="14"/>
        <v/>
      </c>
      <c r="AE140" s="1"/>
      <c r="AG140" s="1"/>
      <c r="AK140" t="s">
        <v>370</v>
      </c>
      <c r="AL140" s="67">
        <v>3457.442</v>
      </c>
      <c r="AM140" s="67">
        <v>271.76400000000001</v>
      </c>
      <c r="AN140" s="55">
        <v>1.4000000000000001</v>
      </c>
      <c r="AO140" s="69">
        <v>7</v>
      </c>
      <c r="AP140" s="69">
        <v>30</v>
      </c>
      <c r="AR140" s="3" t="str">
        <v>Iceberg OfficeWorks 42" Round Tables</v>
      </c>
      <c r="AS140" s="1">
        <v>3457.442</v>
      </c>
      <c r="AT140" s="3">
        <v>271.76400000000001</v>
      </c>
      <c r="AU140" s="16">
        <v>1.4000000000000001</v>
      </c>
      <c r="AV140" s="3">
        <v>7</v>
      </c>
      <c r="AW140" s="3">
        <v>30</v>
      </c>
    </row>
    <row r="141" spans="17:49" x14ac:dyDescent="0.35">
      <c r="Q141" t="s">
        <v>369</v>
      </c>
      <c r="R141" s="67">
        <v>1589.4059999999999</v>
      </c>
      <c r="U141" s="3" t="str">
        <v>Iceberg Nesting Folding Chair, 19w x 6d x 43h</v>
      </c>
      <c r="V141" s="1">
        <v>1589.4059999999999</v>
      </c>
      <c r="W141" s="1">
        <v>0</v>
      </c>
      <c r="X141" s="1"/>
      <c r="Y141" s="1"/>
      <c r="Z141" s="1"/>
      <c r="AC141" s="3" t="str">
        <f t="shared" si="14"/>
        <v/>
      </c>
      <c r="AE141" s="1"/>
      <c r="AG141" s="1"/>
      <c r="AK141" t="s">
        <v>375</v>
      </c>
      <c r="AL141" s="67">
        <v>2847.78</v>
      </c>
      <c r="AM141" s="67">
        <v>213.58349999999999</v>
      </c>
      <c r="AN141" s="55">
        <v>2.2999999999999998</v>
      </c>
      <c r="AO141" s="69">
        <v>8</v>
      </c>
      <c r="AP141" s="69">
        <v>20</v>
      </c>
      <c r="AR141" s="3" t="str">
        <v>Lesro Round Back Collection Coffee Table, End Table</v>
      </c>
      <c r="AS141" s="1">
        <v>2847.78</v>
      </c>
      <c r="AT141" s="3">
        <v>213.58349999999999</v>
      </c>
      <c r="AU141" s="16">
        <v>2.2999999999999998</v>
      </c>
      <c r="AV141" s="3">
        <v>8</v>
      </c>
      <c r="AW141" s="3">
        <v>20</v>
      </c>
    </row>
    <row r="142" spans="17:49" x14ac:dyDescent="0.35">
      <c r="Q142" t="s">
        <v>216</v>
      </c>
      <c r="R142" s="67">
        <v>1579.3720000000001</v>
      </c>
      <c r="U142" s="3" t="str">
        <v>Deflect-o Glass Clear Studded Chair Mats</v>
      </c>
      <c r="V142" s="1">
        <v>1579.3720000000001</v>
      </c>
      <c r="W142" s="1">
        <v>0</v>
      </c>
      <c r="X142" s="1"/>
      <c r="Y142" s="1"/>
      <c r="Z142" s="1"/>
      <c r="AC142" s="3" t="str">
        <f t="shared" si="14"/>
        <v/>
      </c>
      <c r="AE142" s="1"/>
      <c r="AG142" s="1"/>
      <c r="AK142" t="s">
        <v>377</v>
      </c>
      <c r="AL142" s="67">
        <v>5212.1120000000001</v>
      </c>
      <c r="AM142" s="67">
        <v>1003.168</v>
      </c>
      <c r="AN142" s="55">
        <v>1</v>
      </c>
      <c r="AO142" s="69">
        <v>7</v>
      </c>
      <c r="AP142" s="69">
        <v>27</v>
      </c>
      <c r="AR142" s="3" t="str">
        <v>Lifetime Advantage Folding Chairs, 4/Carton</v>
      </c>
      <c r="AS142" s="1">
        <v>5212.1120000000001</v>
      </c>
      <c r="AT142" s="3">
        <v>1003.168</v>
      </c>
      <c r="AU142" s="16">
        <v>1</v>
      </c>
      <c r="AV142" s="3">
        <v>7</v>
      </c>
      <c r="AW142" s="3">
        <v>27</v>
      </c>
    </row>
    <row r="143" spans="17:49" x14ac:dyDescent="0.35">
      <c r="Q143" t="s">
        <v>344</v>
      </c>
      <c r="R143" s="67">
        <v>1570.0776000000001</v>
      </c>
      <c r="U143" s="3" t="str">
        <v>Hon Metal Bookcases, Black</v>
      </c>
      <c r="V143" s="1">
        <v>1570.0776000000001</v>
      </c>
      <c r="W143" s="1">
        <v>0</v>
      </c>
      <c r="X143" s="1"/>
      <c r="Y143" s="1"/>
      <c r="Z143" s="1"/>
      <c r="AC143" s="3" t="str">
        <f t="shared" si="14"/>
        <v/>
      </c>
      <c r="AE143" s="1"/>
      <c r="AG143" s="1"/>
      <c r="AK143" t="s">
        <v>383</v>
      </c>
      <c r="AL143" s="67">
        <v>1329.9</v>
      </c>
      <c r="AM143" s="67">
        <v>345.774</v>
      </c>
      <c r="AN143" s="55">
        <v>0</v>
      </c>
      <c r="AO143" s="69">
        <v>5</v>
      </c>
      <c r="AP143" s="69">
        <v>13</v>
      </c>
      <c r="AR143" s="3" t="str">
        <v>Luxo Professional Combination Clamp-On Lamps</v>
      </c>
      <c r="AS143" s="1">
        <v>1329.9</v>
      </c>
      <c r="AT143" s="3">
        <v>345.774</v>
      </c>
      <c r="AU143" s="16">
        <v>0</v>
      </c>
      <c r="AV143" s="3">
        <v>5</v>
      </c>
      <c r="AW143" s="3">
        <v>13</v>
      </c>
    </row>
    <row r="144" spans="17:49" x14ac:dyDescent="0.35">
      <c r="Q144" t="s">
        <v>381</v>
      </c>
      <c r="R144" s="67">
        <v>1545.816</v>
      </c>
      <c r="U144" s="3" t="str">
        <v>Luxo Adjustable Task Clamp Lamp</v>
      </c>
      <c r="V144" s="1">
        <v>1545.816</v>
      </c>
      <c r="W144" s="1">
        <v>0</v>
      </c>
      <c r="X144" s="1"/>
      <c r="Y144" s="1"/>
      <c r="Z144" s="1"/>
      <c r="AC144" s="3" t="str">
        <f t="shared" si="14"/>
        <v/>
      </c>
      <c r="AE144" s="1"/>
      <c r="AG144" s="1"/>
      <c r="AK144" t="s">
        <v>384</v>
      </c>
      <c r="AL144" s="67">
        <v>3861.056</v>
      </c>
      <c r="AM144" s="67">
        <v>646.30719999999997</v>
      </c>
      <c r="AN144" s="55">
        <v>1</v>
      </c>
      <c r="AO144" s="69">
        <v>5</v>
      </c>
      <c r="AP144" s="69">
        <v>23</v>
      </c>
      <c r="AR144" s="3" t="str">
        <v>Luxo Professional Fluorescent Magnifier Lamp with Clamp-Mount Base</v>
      </c>
      <c r="AS144" s="1">
        <v>3861.056</v>
      </c>
      <c r="AT144" s="3">
        <v>646.30719999999997</v>
      </c>
      <c r="AU144" s="16">
        <v>1</v>
      </c>
      <c r="AV144" s="3">
        <v>5</v>
      </c>
      <c r="AW144" s="3">
        <v>23</v>
      </c>
    </row>
    <row r="145" spans="17:49" x14ac:dyDescent="0.35">
      <c r="Q145" t="s">
        <v>323</v>
      </c>
      <c r="R145" s="67">
        <v>1501.8979999999999</v>
      </c>
      <c r="U145" s="3" t="str">
        <v>Harbour Creations 67200 Series Stacking Chairs</v>
      </c>
      <c r="V145" s="1">
        <v>1501.8979999999999</v>
      </c>
      <c r="W145" s="1">
        <v>0</v>
      </c>
      <c r="X145" s="1"/>
      <c r="Y145" s="1"/>
      <c r="Z145" s="1"/>
      <c r="AC145" s="3" t="str">
        <f t="shared" si="14"/>
        <v/>
      </c>
      <c r="AE145" s="1"/>
      <c r="AG145" s="1"/>
      <c r="AK145" t="s">
        <v>389</v>
      </c>
      <c r="AL145" s="67">
        <v>176.78399999999999</v>
      </c>
      <c r="AM145" s="67">
        <v>53.34</v>
      </c>
      <c r="AN145" s="55">
        <v>1</v>
      </c>
      <c r="AO145" s="69">
        <v>9</v>
      </c>
      <c r="AP145" s="69">
        <v>38</v>
      </c>
      <c r="AR145" s="3" t="str">
        <v>Master Caster Door Stop, Brown</v>
      </c>
      <c r="AS145" s="1">
        <v>176.78399999999999</v>
      </c>
      <c r="AT145" s="3">
        <v>53.34</v>
      </c>
      <c r="AU145" s="16">
        <v>1</v>
      </c>
      <c r="AV145" s="3">
        <v>9</v>
      </c>
      <c r="AW145" s="3">
        <v>38</v>
      </c>
    </row>
    <row r="146" spans="17:49" x14ac:dyDescent="0.35">
      <c r="Q146" t="s">
        <v>334</v>
      </c>
      <c r="R146" s="67">
        <v>1474.308</v>
      </c>
      <c r="U146" s="3" t="str">
        <v>Hon 4-Shelf Metal Bookcases</v>
      </c>
      <c r="V146" s="1">
        <v>1474.308</v>
      </c>
      <c r="W146" s="1">
        <v>0</v>
      </c>
      <c r="X146" s="1"/>
      <c r="Y146" s="1"/>
      <c r="Z146" s="1"/>
      <c r="AC146" s="3" t="str">
        <f t="shared" si="14"/>
        <v/>
      </c>
      <c r="AE146" s="1"/>
      <c r="AG146" s="1"/>
      <c r="AK146" t="s">
        <v>392</v>
      </c>
      <c r="AL146" s="67">
        <v>154.33600000000001</v>
      </c>
      <c r="AM146" s="67">
        <v>48.4848</v>
      </c>
      <c r="AN146" s="55">
        <v>1.2000000000000002</v>
      </c>
      <c r="AO146" s="69">
        <v>7</v>
      </c>
      <c r="AP146" s="69">
        <v>27</v>
      </c>
      <c r="AR146" s="3" t="str">
        <v>Master Caster Door Stop, Large Neon Orange</v>
      </c>
      <c r="AS146" s="1">
        <v>154.33600000000001</v>
      </c>
      <c r="AT146" s="3">
        <v>48.4848</v>
      </c>
      <c r="AU146" s="16">
        <v>1.2000000000000002</v>
      </c>
      <c r="AV146" s="3">
        <v>7</v>
      </c>
      <c r="AW146" s="3">
        <v>27</v>
      </c>
    </row>
    <row r="147" spans="17:49" x14ac:dyDescent="0.35">
      <c r="Q147" t="s">
        <v>175</v>
      </c>
      <c r="R147" s="67">
        <v>1473.2982</v>
      </c>
      <c r="U147" s="3" t="str">
        <v>Bush Westfield Collection Bookcases, Fully Assembled</v>
      </c>
      <c r="V147" s="1">
        <v>1473.2982</v>
      </c>
      <c r="W147" s="1">
        <v>0</v>
      </c>
      <c r="X147" s="1"/>
      <c r="Y147" s="1"/>
      <c r="Z147" s="1"/>
      <c r="AC147" s="3" t="str">
        <f t="shared" si="14"/>
        <v/>
      </c>
      <c r="AE147" s="1"/>
      <c r="AG147" s="1"/>
      <c r="AK147" t="s">
        <v>394</v>
      </c>
      <c r="AL147" s="67">
        <v>685.58799999999997</v>
      </c>
      <c r="AM147" s="67">
        <v>117.7718</v>
      </c>
      <c r="AN147" s="55">
        <v>0.60000000000000009</v>
      </c>
      <c r="AO147" s="69">
        <v>5</v>
      </c>
      <c r="AP147" s="69">
        <v>23</v>
      </c>
      <c r="AR147" s="3" t="str">
        <v>Metal Folding Chairs, Beige, 4/Carton</v>
      </c>
      <c r="AS147" s="1">
        <v>685.58799999999997</v>
      </c>
      <c r="AT147" s="3">
        <v>117.7718</v>
      </c>
      <c r="AU147" s="16">
        <v>0.60000000000000009</v>
      </c>
      <c r="AV147" s="3">
        <v>5</v>
      </c>
      <c r="AW147" s="3">
        <v>23</v>
      </c>
    </row>
    <row r="148" spans="17:49" x14ac:dyDescent="0.35">
      <c r="Q148" t="s">
        <v>469</v>
      </c>
      <c r="R148" s="67">
        <v>1469.16</v>
      </c>
      <c r="U148" s="3" t="str">
        <v>Tenex "The Solids" Textured Chair Mats</v>
      </c>
      <c r="V148" s="1">
        <v>1469.16</v>
      </c>
      <c r="W148" s="1">
        <v>0</v>
      </c>
      <c r="X148" s="1"/>
      <c r="Y148" s="1"/>
      <c r="Z148" s="1"/>
      <c r="AC148" s="3" t="str">
        <f t="shared" si="14"/>
        <v/>
      </c>
      <c r="AE148" s="1"/>
      <c r="AG148" s="1"/>
      <c r="AK148" t="s">
        <v>401</v>
      </c>
      <c r="AL148" s="67">
        <v>170.62</v>
      </c>
      <c r="AM148" s="67">
        <v>60.884399999999999</v>
      </c>
      <c r="AN148" s="55">
        <v>1.2000000000000002</v>
      </c>
      <c r="AO148" s="69">
        <v>7</v>
      </c>
      <c r="AP148" s="69">
        <v>22</v>
      </c>
      <c r="AR148" s="3" t="str">
        <v>Nu-Dell Float Frame 11 x 14 1/2</v>
      </c>
      <c r="AS148" s="1">
        <v>170.62</v>
      </c>
      <c r="AT148" s="3">
        <v>60.884399999999999</v>
      </c>
      <c r="AU148" s="16">
        <v>1.2000000000000002</v>
      </c>
      <c r="AV148" s="3">
        <v>7</v>
      </c>
      <c r="AW148" s="3">
        <v>22</v>
      </c>
    </row>
    <row r="149" spans="17:49" x14ac:dyDescent="0.35">
      <c r="Q149" t="s">
        <v>311</v>
      </c>
      <c r="R149" s="67">
        <v>1448.8389999999999</v>
      </c>
      <c r="U149" s="3" t="str">
        <v>Global Leather Task Chair, Black</v>
      </c>
      <c r="V149" s="1">
        <v>1448.8389999999999</v>
      </c>
      <c r="W149" s="1">
        <v>0</v>
      </c>
      <c r="X149" s="1"/>
      <c r="Y149" s="1"/>
      <c r="Z149" s="1"/>
      <c r="AC149" s="3" t="str">
        <f t="shared" si="14"/>
        <v/>
      </c>
      <c r="AE149" s="1"/>
      <c r="AG149" s="1"/>
      <c r="AK149" t="s">
        <v>406</v>
      </c>
      <c r="AL149" s="67">
        <v>1842.268</v>
      </c>
      <c r="AM149" s="67">
        <v>195.32480000000001</v>
      </c>
      <c r="AN149" s="55">
        <v>1.0999999999999999</v>
      </c>
      <c r="AO149" s="69">
        <v>6</v>
      </c>
      <c r="AP149" s="69">
        <v>20</v>
      </c>
      <c r="AR149" s="3" t="str">
        <v>Office Star - Contemporary Task Swivel Chair</v>
      </c>
      <c r="AS149" s="1">
        <v>1842.268</v>
      </c>
      <c r="AT149" s="3">
        <v>195.32480000000001</v>
      </c>
      <c r="AU149" s="16">
        <v>1.0999999999999999</v>
      </c>
      <c r="AV149" s="3">
        <v>6</v>
      </c>
      <c r="AW149" s="3">
        <v>20</v>
      </c>
    </row>
    <row r="150" spans="17:49" x14ac:dyDescent="0.35">
      <c r="Q150" t="s">
        <v>374</v>
      </c>
      <c r="R150" s="67">
        <v>1437.4839999999999</v>
      </c>
      <c r="U150" s="3" t="str">
        <v>Leather Task Chair, Black</v>
      </c>
      <c r="V150" s="1">
        <v>1437.4839999999999</v>
      </c>
      <c r="W150" s="1">
        <v>0</v>
      </c>
      <c r="X150" s="1"/>
      <c r="Y150" s="1"/>
      <c r="Z150" s="1"/>
      <c r="AC150" s="3" t="str">
        <f t="shared" si="14"/>
        <v/>
      </c>
      <c r="AE150" s="1"/>
      <c r="AG150" s="1"/>
      <c r="AK150" t="s">
        <v>408</v>
      </c>
      <c r="AL150" s="67">
        <v>3680.538</v>
      </c>
      <c r="AM150" s="67">
        <v>23.5764</v>
      </c>
      <c r="AN150" s="55">
        <v>1.7000000000000004</v>
      </c>
      <c r="AO150" s="69">
        <v>9</v>
      </c>
      <c r="AP150" s="69">
        <v>35</v>
      </c>
      <c r="AR150" s="3" t="str">
        <v>Office Star - Contemporary Task Swivel chair with Loop Arms, Charcoal</v>
      </c>
      <c r="AS150" s="1">
        <v>3680.538</v>
      </c>
      <c r="AT150" s="3">
        <v>23.5764</v>
      </c>
      <c r="AU150" s="16">
        <v>1.7000000000000004</v>
      </c>
      <c r="AV150" s="3">
        <v>9</v>
      </c>
      <c r="AW150" s="3">
        <v>35</v>
      </c>
    </row>
    <row r="151" spans="17:49" x14ac:dyDescent="0.35">
      <c r="Q151" t="s">
        <v>165</v>
      </c>
      <c r="R151" s="67">
        <v>1436.232</v>
      </c>
      <c r="U151" s="3" t="str">
        <v>Bush Andora Conference Table, Maple/Graphite Gray Finish</v>
      </c>
      <c r="V151" s="1">
        <v>1436.232</v>
      </c>
      <c r="W151" s="1">
        <v>0</v>
      </c>
      <c r="X151" s="1"/>
      <c r="Y151" s="1"/>
      <c r="Z151" s="1"/>
      <c r="AC151" s="3" t="str">
        <f t="shared" si="14"/>
        <v/>
      </c>
      <c r="AE151" s="1"/>
      <c r="AG151" s="1"/>
      <c r="AK151" t="s">
        <v>426</v>
      </c>
      <c r="AL151" s="67">
        <v>2970.0590000000002</v>
      </c>
      <c r="AM151" s="67">
        <v>72.587999999999994</v>
      </c>
      <c r="AN151" s="55">
        <v>1.1000000000000001</v>
      </c>
      <c r="AO151" s="69">
        <v>10</v>
      </c>
      <c r="AP151" s="69">
        <v>28</v>
      </c>
      <c r="AR151" s="3" t="str">
        <v>O'Sullivan Living Dimensions 2-Shelf Bookcases</v>
      </c>
      <c r="AS151" s="1">
        <v>2970.0590000000002</v>
      </c>
      <c r="AT151" s="3">
        <v>72.587999999999994</v>
      </c>
      <c r="AU151" s="16">
        <v>1.1000000000000001</v>
      </c>
      <c r="AV151" s="3">
        <v>10</v>
      </c>
      <c r="AW151" s="3">
        <v>28</v>
      </c>
    </row>
    <row r="152" spans="17:49" x14ac:dyDescent="0.35">
      <c r="Q152" t="s">
        <v>233</v>
      </c>
      <c r="R152" s="67">
        <v>1431.944</v>
      </c>
      <c r="U152" s="3" t="str">
        <v>Eldon Antistatic Chair Mats for Low to Medium Pile Carpets</v>
      </c>
      <c r="V152" s="1">
        <v>1431.944</v>
      </c>
      <c r="W152" s="1">
        <v>0</v>
      </c>
      <c r="X152" s="1"/>
      <c r="Y152" s="1"/>
      <c r="Z152" s="1"/>
      <c r="AC152" s="3" t="str">
        <f t="shared" si="14"/>
        <v/>
      </c>
      <c r="AE152" s="1"/>
      <c r="AG152" s="1"/>
      <c r="AK152" t="s">
        <v>428</v>
      </c>
      <c r="AL152" s="67">
        <v>3420.7703999999999</v>
      </c>
      <c r="AM152" s="67">
        <v>0</v>
      </c>
      <c r="AN152" s="55">
        <v>1.4400000000000002</v>
      </c>
      <c r="AO152" s="69">
        <v>6</v>
      </c>
      <c r="AP152" s="69">
        <v>21</v>
      </c>
      <c r="AR152" s="3" t="str">
        <v>O'Sullivan Living Dimensions 5-Shelf Bookcases</v>
      </c>
      <c r="AS152" s="1">
        <v>3420.7703999999999</v>
      </c>
      <c r="AT152" s="3">
        <v>0</v>
      </c>
      <c r="AU152" s="16">
        <v>1.4400000000000002</v>
      </c>
      <c r="AV152" s="3">
        <v>6</v>
      </c>
      <c r="AW152" s="3">
        <v>21</v>
      </c>
    </row>
    <row r="153" spans="17:49" x14ac:dyDescent="0.35">
      <c r="Q153" t="s">
        <v>452</v>
      </c>
      <c r="R153" s="67">
        <v>1427.683</v>
      </c>
      <c r="U153" s="3" t="str">
        <v>Sauder Facets Collection Library, Sky Alder Finish</v>
      </c>
      <c r="V153" s="1">
        <v>1427.683</v>
      </c>
      <c r="W153" s="1">
        <v>0</v>
      </c>
      <c r="X153" s="1"/>
      <c r="Y153" s="1"/>
      <c r="Z153" s="1"/>
      <c r="AC153" s="3" t="str">
        <f t="shared" si="14"/>
        <v/>
      </c>
      <c r="AE153" s="1"/>
      <c r="AG153" s="1"/>
      <c r="AK153" t="s">
        <v>435</v>
      </c>
      <c r="AL153" s="67">
        <v>2064.2280000000001</v>
      </c>
      <c r="AM153" s="67">
        <v>159.81120000000001</v>
      </c>
      <c r="AN153" s="55">
        <v>1</v>
      </c>
      <c r="AO153" s="69">
        <v>5</v>
      </c>
      <c r="AP153" s="69">
        <v>24</v>
      </c>
      <c r="AR153" s="3" t="str">
        <v>Rubbermaid ClusterMat Chairmats, Mat Size- 66" x 60", Lip 20" x 11" -90 Degree Angle</v>
      </c>
      <c r="AS153" s="1">
        <v>2064.2280000000001</v>
      </c>
      <c r="AT153" s="3">
        <v>159.81120000000001</v>
      </c>
      <c r="AU153" s="16">
        <v>1</v>
      </c>
      <c r="AV153" s="3">
        <v>5</v>
      </c>
      <c r="AW153" s="3">
        <v>24</v>
      </c>
    </row>
    <row r="154" spans="17:49" x14ac:dyDescent="0.35">
      <c r="Q154" t="s">
        <v>176</v>
      </c>
      <c r="R154" s="67">
        <v>1426.8878</v>
      </c>
      <c r="U154" s="3" t="str">
        <v>Bush Westfield Collection Bookcases, Medium Cherry Finish</v>
      </c>
      <c r="V154" s="1">
        <v>1426.8878</v>
      </c>
      <c r="W154" s="1">
        <v>0</v>
      </c>
      <c r="X154" s="1"/>
      <c r="Y154" s="1"/>
      <c r="Z154" s="1"/>
      <c r="AC154" s="3" t="str">
        <f t="shared" si="14"/>
        <v/>
      </c>
      <c r="AE154" s="1"/>
      <c r="AG154" s="1"/>
      <c r="AK154" t="s">
        <v>121</v>
      </c>
      <c r="AL154" s="67">
        <v>11572.78</v>
      </c>
      <c r="AM154" s="67">
        <v>1223.566</v>
      </c>
      <c r="AN154" s="55">
        <v>2.5999999999999996</v>
      </c>
      <c r="AO154" s="69">
        <v>13</v>
      </c>
      <c r="AP154" s="69">
        <v>53</v>
      </c>
      <c r="AR154" s="3" t="str">
        <v>SAFCO Arco Folding Chair</v>
      </c>
      <c r="AS154" s="1">
        <v>11572.78</v>
      </c>
      <c r="AT154" s="3">
        <v>1223.566</v>
      </c>
      <c r="AU154" s="16">
        <v>2.5999999999999996</v>
      </c>
      <c r="AV154" s="3">
        <v>13</v>
      </c>
      <c r="AW154" s="3">
        <v>53</v>
      </c>
    </row>
    <row r="155" spans="17:49" x14ac:dyDescent="0.35">
      <c r="Q155" t="s">
        <v>295</v>
      </c>
      <c r="R155" s="67">
        <v>1420.5039999999999</v>
      </c>
      <c r="U155" s="3" t="str">
        <v>Global Deluxe Office Fabric Chairs</v>
      </c>
      <c r="V155" s="1">
        <v>1420.5039999999999</v>
      </c>
      <c r="W155" s="1">
        <v>0</v>
      </c>
      <c r="X155" s="1"/>
      <c r="Y155" s="1"/>
      <c r="Z155" s="1"/>
      <c r="AC155" s="3" t="str">
        <f t="shared" si="14"/>
        <v/>
      </c>
      <c r="AE155" s="1"/>
      <c r="AG155" s="1"/>
      <c r="AK155" t="s">
        <v>447</v>
      </c>
      <c r="AL155" s="67">
        <v>754.73360000000002</v>
      </c>
      <c r="AM155" s="67">
        <v>0</v>
      </c>
      <c r="AN155" s="55">
        <v>1.22</v>
      </c>
      <c r="AO155" s="69">
        <v>3</v>
      </c>
      <c r="AP155" s="69">
        <v>16</v>
      </c>
      <c r="AR155" s="3" t="str">
        <v>Sauder Barrister Bookcases</v>
      </c>
      <c r="AS155" s="1">
        <v>754.73360000000002</v>
      </c>
      <c r="AT155" s="3">
        <v>0</v>
      </c>
      <c r="AU155" s="16">
        <v>1.22</v>
      </c>
      <c r="AV155" s="3">
        <v>3</v>
      </c>
      <c r="AW155" s="3">
        <v>16</v>
      </c>
    </row>
    <row r="156" spans="17:49" x14ac:dyDescent="0.35">
      <c r="Q156" t="s">
        <v>287</v>
      </c>
      <c r="R156" s="67">
        <v>1396.442</v>
      </c>
      <c r="U156" s="3" t="str">
        <v>Global Armless Task Chair, Royal Blue</v>
      </c>
      <c r="V156" s="1">
        <v>1396.442</v>
      </c>
      <c r="W156" s="1">
        <v>0</v>
      </c>
      <c r="X156" s="1"/>
      <c r="Y156" s="1"/>
      <c r="Z156" s="1"/>
      <c r="AC156" s="3" t="str">
        <f t="shared" si="14"/>
        <v/>
      </c>
      <c r="AE156" s="1"/>
      <c r="AG156" s="1"/>
      <c r="AK156" t="s">
        <v>449</v>
      </c>
      <c r="AL156" s="67">
        <v>1909.8178</v>
      </c>
      <c r="AM156" s="67">
        <v>72.437399999999997</v>
      </c>
      <c r="AN156" s="55">
        <v>1.02</v>
      </c>
      <c r="AO156" s="69">
        <v>7</v>
      </c>
      <c r="AP156" s="69">
        <v>19</v>
      </c>
      <c r="AR156" s="3" t="str">
        <v>Sauder Camden County Collection Libraries, Planked Cherry Finish</v>
      </c>
      <c r="AS156" s="1">
        <v>1909.8178</v>
      </c>
      <c r="AT156" s="3">
        <v>72.437399999999997</v>
      </c>
      <c r="AU156" s="16">
        <v>1.02</v>
      </c>
      <c r="AV156" s="3">
        <v>7</v>
      </c>
      <c r="AW156" s="3">
        <v>19</v>
      </c>
    </row>
    <row r="157" spans="17:49" x14ac:dyDescent="0.35">
      <c r="Q157" t="s">
        <v>450</v>
      </c>
      <c r="R157" s="67">
        <v>1368.2619999999999</v>
      </c>
      <c r="U157" s="3" t="str">
        <v>Sauder Camden County Collection Library</v>
      </c>
      <c r="V157" s="1">
        <v>1368.2619999999999</v>
      </c>
      <c r="W157" s="1">
        <v>0</v>
      </c>
      <c r="X157" s="1"/>
      <c r="Y157" s="1"/>
      <c r="Z157" s="1"/>
      <c r="AC157" s="3" t="str">
        <f t="shared" si="14"/>
        <v/>
      </c>
      <c r="AE157" s="1"/>
      <c r="AG157" s="1"/>
      <c r="AK157" t="s">
        <v>455</v>
      </c>
      <c r="AL157" s="67">
        <v>2154.348</v>
      </c>
      <c r="AM157" s="67">
        <v>347.08940000000001</v>
      </c>
      <c r="AN157" s="55">
        <v>0.65</v>
      </c>
      <c r="AO157" s="69">
        <v>5</v>
      </c>
      <c r="AP157" s="69">
        <v>14</v>
      </c>
      <c r="AR157" s="3" t="str">
        <v>Sauder Inglewood Library Bookcases</v>
      </c>
      <c r="AS157" s="1">
        <v>2154.348</v>
      </c>
      <c r="AT157" s="3">
        <v>347.08940000000001</v>
      </c>
      <c r="AU157" s="16">
        <v>0.65</v>
      </c>
      <c r="AV157" s="3">
        <v>5</v>
      </c>
      <c r="AW157" s="3">
        <v>14</v>
      </c>
    </row>
    <row r="158" spans="17:49" x14ac:dyDescent="0.35">
      <c r="Q158" t="s">
        <v>398</v>
      </c>
      <c r="R158" s="67">
        <v>1341.5219999999999</v>
      </c>
      <c r="U158" s="3" t="str">
        <v>Novimex Turbo Task Chair</v>
      </c>
      <c r="V158" s="1">
        <v>1341.5219999999999</v>
      </c>
      <c r="W158" s="1">
        <v>0</v>
      </c>
      <c r="X158" s="1"/>
      <c r="Y158" s="1"/>
      <c r="Z158" s="1"/>
      <c r="AC158" s="3" t="str">
        <f t="shared" si="14"/>
        <v/>
      </c>
      <c r="AE158" s="1"/>
      <c r="AG158" s="1"/>
      <c r="AK158" t="s">
        <v>461</v>
      </c>
      <c r="AL158" s="67">
        <v>441.72800000000001</v>
      </c>
      <c r="AM158" s="67">
        <v>72.105599999999995</v>
      </c>
      <c r="AN158" s="55">
        <v>1.2000000000000002</v>
      </c>
      <c r="AO158" s="69">
        <v>5</v>
      </c>
      <c r="AP158" s="69">
        <v>19</v>
      </c>
      <c r="AR158" s="3" t="str">
        <v>Seth Thomas 16" Steel Case Clock</v>
      </c>
      <c r="AS158" s="1">
        <v>441.72800000000001</v>
      </c>
      <c r="AT158" s="3">
        <v>72.105599999999995</v>
      </c>
      <c r="AU158" s="16">
        <v>1.2000000000000002</v>
      </c>
      <c r="AV158" s="3">
        <v>5</v>
      </c>
      <c r="AW158" s="3">
        <v>19</v>
      </c>
    </row>
    <row r="159" spans="17:49" x14ac:dyDescent="0.35">
      <c r="Q159" t="s">
        <v>383</v>
      </c>
      <c r="R159" s="67">
        <v>1329.9</v>
      </c>
      <c r="U159" s="3" t="str">
        <v>Luxo Professional Combination Clamp-On Lamps</v>
      </c>
      <c r="V159" s="1">
        <v>1329.9</v>
      </c>
      <c r="W159" s="1">
        <v>0</v>
      </c>
      <c r="X159" s="1"/>
      <c r="Y159" s="1"/>
      <c r="Z159" s="1"/>
      <c r="AC159" s="3" t="str">
        <f t="shared" si="14"/>
        <v/>
      </c>
      <c r="AE159" s="1"/>
      <c r="AG159" s="1"/>
      <c r="AK159" t="s">
        <v>467</v>
      </c>
      <c r="AL159" s="67">
        <v>422.28800000000001</v>
      </c>
      <c r="AM159" s="67">
        <v>145.77279999999999</v>
      </c>
      <c r="AN159" s="55">
        <v>3.8000000000000003</v>
      </c>
      <c r="AO159" s="69">
        <v>16</v>
      </c>
      <c r="AP159" s="69">
        <v>62</v>
      </c>
      <c r="AR159" s="3" t="str">
        <v>Staple-based wall hangings</v>
      </c>
      <c r="AS159" s="1">
        <v>422.28800000000001</v>
      </c>
      <c r="AT159" s="3">
        <v>145.77279999999999</v>
      </c>
      <c r="AU159" s="16">
        <v>3.8000000000000003</v>
      </c>
      <c r="AV159" s="3">
        <v>16</v>
      </c>
      <c r="AW159" s="3">
        <v>62</v>
      </c>
    </row>
    <row r="160" spans="17:49" x14ac:dyDescent="0.35">
      <c r="Q160" t="s">
        <v>365</v>
      </c>
      <c r="R160" s="67">
        <v>1324.8</v>
      </c>
      <c r="U160" s="3" t="str">
        <v>Howard Miller 13-3/4" Diameter Brushed Chrome Round Wall Clock</v>
      </c>
      <c r="V160" s="1">
        <v>1324.8</v>
      </c>
      <c r="W160" s="1">
        <v>0</v>
      </c>
      <c r="X160" s="1"/>
      <c r="Y160" s="1"/>
      <c r="Z160" s="1"/>
      <c r="AC160" s="3" t="str">
        <f t="shared" si="14"/>
        <v/>
      </c>
      <c r="AE160" s="1"/>
      <c r="AG160" s="1"/>
      <c r="AK160" t="s">
        <v>473</v>
      </c>
      <c r="AL160" s="67">
        <v>763.66800000000001</v>
      </c>
      <c r="AM160" s="67">
        <v>39.5976</v>
      </c>
      <c r="AN160" s="55">
        <v>1.2</v>
      </c>
      <c r="AO160" s="69">
        <v>5</v>
      </c>
      <c r="AP160" s="69">
        <v>15</v>
      </c>
      <c r="AR160" s="3" t="str">
        <v>Tenex Carpeted, Granite-Look or Clear Contemporary Contour Shape Chair Mats</v>
      </c>
      <c r="AS160" s="1">
        <v>763.66800000000001</v>
      </c>
      <c r="AT160" s="3">
        <v>39.5976</v>
      </c>
      <c r="AU160" s="16">
        <v>1.2</v>
      </c>
      <c r="AV160" s="3">
        <v>5</v>
      </c>
      <c r="AW160" s="3">
        <v>15</v>
      </c>
    </row>
    <row r="161" spans="17:49" x14ac:dyDescent="0.35">
      <c r="Q161" t="s">
        <v>479</v>
      </c>
      <c r="R161" s="67">
        <v>1322.17</v>
      </c>
      <c r="U161" s="3" t="str">
        <v>Tenex Traditional Chairmats for Medium Pile Carpet, Standard Lip, 36" x 48"</v>
      </c>
      <c r="V161" s="1">
        <v>1322.17</v>
      </c>
      <c r="W161" s="1">
        <v>0</v>
      </c>
      <c r="X161" s="1"/>
      <c r="Y161" s="1"/>
      <c r="Z161" s="1"/>
      <c r="AC161" s="3" t="str">
        <f t="shared" si="14"/>
        <v/>
      </c>
      <c r="AE161" s="1"/>
      <c r="AG161" s="1"/>
      <c r="AK161" t="s">
        <v>479</v>
      </c>
      <c r="AL161" s="67">
        <v>1322.17</v>
      </c>
      <c r="AM161" s="67">
        <v>243.20650000000001</v>
      </c>
      <c r="AN161" s="55">
        <v>0.8</v>
      </c>
      <c r="AO161" s="69">
        <v>6</v>
      </c>
      <c r="AP161" s="69">
        <v>24</v>
      </c>
      <c r="AR161" s="3" t="str">
        <v>Tenex Traditional Chairmats for Medium Pile Carpet, Standard Lip, 36" x 48"</v>
      </c>
      <c r="AS161" s="1">
        <v>1322.17</v>
      </c>
      <c r="AT161" s="3">
        <v>243.20650000000001</v>
      </c>
      <c r="AU161" s="16">
        <v>0.8</v>
      </c>
      <c r="AV161" s="3">
        <v>6</v>
      </c>
      <c r="AW161" s="3">
        <v>24</v>
      </c>
    </row>
    <row r="162" spans="17:49" x14ac:dyDescent="0.35">
      <c r="Q162" t="s">
        <v>346</v>
      </c>
      <c r="R162" s="67">
        <v>1320.2280000000001</v>
      </c>
      <c r="U162" s="3" t="str">
        <v>Hon Metal Bookcases, Putty</v>
      </c>
      <c r="V162" s="1">
        <v>1320.2280000000001</v>
      </c>
      <c r="W162" s="1">
        <v>0</v>
      </c>
      <c r="X162" s="1"/>
      <c r="Y162" s="1"/>
      <c r="Z162" s="1"/>
      <c r="AC162" s="3" t="str">
        <f t="shared" si="14"/>
        <v/>
      </c>
      <c r="AE162" s="1"/>
      <c r="AG162" s="1"/>
      <c r="AK162" t="s">
        <v>482</v>
      </c>
      <c r="AL162" s="67">
        <v>146.114</v>
      </c>
      <c r="AM162" s="67">
        <v>21.407399999999999</v>
      </c>
      <c r="AN162" s="55">
        <v>0.8</v>
      </c>
      <c r="AO162" s="69">
        <v>4</v>
      </c>
      <c r="AP162" s="69">
        <v>10</v>
      </c>
      <c r="AR162" s="3" t="str">
        <v>Tensor Brushed Steel Torchiere Floor Lamp</v>
      </c>
      <c r="AS162" s="1">
        <v>146.114</v>
      </c>
      <c r="AT162" s="3">
        <v>21.407399999999999</v>
      </c>
      <c r="AU162" s="16">
        <v>0.8</v>
      </c>
      <c r="AV162" s="3">
        <v>4</v>
      </c>
      <c r="AW162" s="3">
        <v>10</v>
      </c>
    </row>
    <row r="163" spans="17:49" x14ac:dyDescent="0.35">
      <c r="Q163" t="s">
        <v>410</v>
      </c>
      <c r="R163" s="67">
        <v>1311.876</v>
      </c>
      <c r="U163" s="3" t="str">
        <v>Office Star - Ergonomically Designed Knee Chair</v>
      </c>
      <c r="V163" s="1">
        <v>1311.876</v>
      </c>
      <c r="W163" s="1">
        <v>0</v>
      </c>
      <c r="X163" s="1"/>
      <c r="Y163" s="1"/>
      <c r="Z163" s="1"/>
      <c r="AC163" s="3" t="str">
        <f t="shared" si="14"/>
        <v/>
      </c>
      <c r="AE163" s="1"/>
      <c r="AG163" s="1"/>
      <c r="AK163" t="s">
        <v>488</v>
      </c>
      <c r="AL163" s="67">
        <v>149.26400000000001</v>
      </c>
      <c r="AM163" s="67">
        <v>37.414200000000001</v>
      </c>
      <c r="AN163" s="55">
        <v>0.4</v>
      </c>
      <c r="AO163" s="69">
        <v>7</v>
      </c>
      <c r="AP163" s="69">
        <v>34</v>
      </c>
      <c r="AR163" s="3" t="str">
        <v>Ultra Door Push Plate</v>
      </c>
      <c r="AS163" s="1">
        <v>149.26400000000001</v>
      </c>
      <c r="AT163" s="3">
        <v>37.414200000000001</v>
      </c>
      <c r="AU163" s="16">
        <v>0.4</v>
      </c>
      <c r="AV163" s="3">
        <v>7</v>
      </c>
      <c r="AW163" s="3">
        <v>34</v>
      </c>
    </row>
    <row r="164" spans="17:49" x14ac:dyDescent="0.35">
      <c r="Q164" t="s">
        <v>235</v>
      </c>
      <c r="R164" s="67">
        <v>1304.1279999999999</v>
      </c>
      <c r="U164" s="3" t="str">
        <v>Eldon Cleatmat Plus Chair Mats for High Pile Carpets</v>
      </c>
      <c r="V164" s="1">
        <v>1304.1279999999999</v>
      </c>
      <c r="W164" s="1">
        <v>0</v>
      </c>
      <c r="X164" s="1"/>
      <c r="Y164" s="1"/>
      <c r="Z164" s="1"/>
      <c r="AC164" s="3" t="str">
        <f t="shared" si="14"/>
        <v/>
      </c>
      <c r="AE164" s="1"/>
      <c r="AG164" s="1"/>
      <c r="AK164" t="s">
        <v>489</v>
      </c>
      <c r="AL164" s="67">
        <v>279.55799999999999</v>
      </c>
      <c r="AM164" s="67">
        <v>58.422600000000003</v>
      </c>
      <c r="AN164" s="55">
        <v>1</v>
      </c>
      <c r="AO164" s="69">
        <v>9</v>
      </c>
      <c r="AP164" s="69">
        <v>38</v>
      </c>
      <c r="AR164" s="3" t="str">
        <v>Westinghouse Clip-On Gooseneck Lamps</v>
      </c>
      <c r="AS164" s="1">
        <v>279.55799999999999</v>
      </c>
      <c r="AT164" s="3">
        <v>58.422600000000003</v>
      </c>
      <c r="AU164" s="16">
        <v>1</v>
      </c>
      <c r="AV164" s="3">
        <v>9</v>
      </c>
      <c r="AW164" s="3">
        <v>38</v>
      </c>
    </row>
    <row r="165" spans="17:49" x14ac:dyDescent="0.35">
      <c r="Q165" t="s">
        <v>329</v>
      </c>
      <c r="R165" s="67">
        <v>1296.028</v>
      </c>
      <c r="U165" s="3" t="str">
        <v>Hon 30" x 60" Table with Locking Drawer</v>
      </c>
      <c r="V165" s="1">
        <v>1296.028</v>
      </c>
      <c r="W165" s="1">
        <v>0</v>
      </c>
      <c r="X165" s="1"/>
      <c r="Y165" s="1"/>
      <c r="Z165" s="1"/>
      <c r="AC165" s="3" t="str">
        <f t="shared" si="14"/>
        <v/>
      </c>
      <c r="AE165" s="1"/>
      <c r="AG165" s="1"/>
      <c r="AK165" t="s">
        <v>126</v>
      </c>
      <c r="AL165" s="67">
        <v>216.34</v>
      </c>
      <c r="AM165" s="67">
        <v>83.179000000000002</v>
      </c>
      <c r="AN165" s="55">
        <v>0.8</v>
      </c>
      <c r="AO165" s="69">
        <v>4</v>
      </c>
      <c r="AP165" s="69">
        <v>14</v>
      </c>
      <c r="AR165" s="3" t="str">
        <v>3M Polarizing Light Filter Sleeves</v>
      </c>
      <c r="AS165" s="1">
        <v>216.34</v>
      </c>
      <c r="AT165" s="3">
        <v>83.179000000000002</v>
      </c>
      <c r="AU165" s="16">
        <v>0.8</v>
      </c>
      <c r="AV165" s="3">
        <v>4</v>
      </c>
      <c r="AW165" s="3">
        <v>14</v>
      </c>
    </row>
    <row r="166" spans="17:49" x14ac:dyDescent="0.35">
      <c r="Q166" t="s">
        <v>385</v>
      </c>
      <c r="R166" s="67">
        <v>1268.922</v>
      </c>
      <c r="U166" s="3" t="str">
        <v>Luxo Professional Magnifying Clamp-On Fluorescent Lamps</v>
      </c>
      <c r="V166" s="1">
        <v>1268.922</v>
      </c>
      <c r="W166" s="1">
        <v>0</v>
      </c>
      <c r="X166" s="1"/>
      <c r="Y166" s="1"/>
      <c r="Z166" s="1"/>
      <c r="AC166" s="3" t="str">
        <f t="shared" si="14"/>
        <v/>
      </c>
      <c r="AE166" s="1"/>
      <c r="AG166" s="1"/>
      <c r="AK166" t="s">
        <v>141</v>
      </c>
      <c r="AL166" s="67">
        <v>828.09649999999999</v>
      </c>
      <c r="AM166" s="67">
        <v>21.097999999999999</v>
      </c>
      <c r="AN166" s="55">
        <v>1.05</v>
      </c>
      <c r="AO166" s="69">
        <v>4</v>
      </c>
      <c r="AP166" s="69">
        <v>11</v>
      </c>
      <c r="AR166" s="3" t="str">
        <v>Balt Solid Wood Rectangular Table</v>
      </c>
      <c r="AS166" s="1">
        <v>828.09649999999999</v>
      </c>
      <c r="AT166" s="3">
        <v>21.097999999999999</v>
      </c>
      <c r="AU166" s="16">
        <v>1.05</v>
      </c>
      <c r="AV166" s="3">
        <v>4</v>
      </c>
      <c r="AW166" s="3">
        <v>11</v>
      </c>
    </row>
    <row r="167" spans="17:49" x14ac:dyDescent="0.35">
      <c r="Q167" t="s">
        <v>340</v>
      </c>
      <c r="R167" s="67">
        <v>1268.6959999999999</v>
      </c>
      <c r="U167" s="3" t="str">
        <v>Hon Deluxe Fabric Upholstered Stacking Chairs, Squared Back</v>
      </c>
      <c r="V167" s="1">
        <v>1268.6959999999999</v>
      </c>
      <c r="W167" s="1">
        <v>0</v>
      </c>
      <c r="X167" s="1"/>
      <c r="Y167" s="1"/>
      <c r="Z167" s="1"/>
      <c r="AC167" s="3" t="str">
        <f t="shared" si="14"/>
        <v/>
      </c>
      <c r="AE167" s="1"/>
      <c r="AG167" s="1"/>
      <c r="AK167" t="s">
        <v>154</v>
      </c>
      <c r="AL167" s="67">
        <v>2297.538</v>
      </c>
      <c r="AM167" s="67">
        <v>219.51</v>
      </c>
      <c r="AN167" s="55">
        <v>1.1000000000000001</v>
      </c>
      <c r="AO167" s="69">
        <v>5</v>
      </c>
      <c r="AP167" s="69">
        <v>19</v>
      </c>
      <c r="AR167" s="3" t="str">
        <v>Bevis Round Conference Table Top &amp; Single Column Base</v>
      </c>
      <c r="AS167" s="1">
        <v>2297.538</v>
      </c>
      <c r="AT167" s="3">
        <v>219.51</v>
      </c>
      <c r="AU167" s="16">
        <v>1.1000000000000001</v>
      </c>
      <c r="AV167" s="3">
        <v>5</v>
      </c>
      <c r="AW167" s="3">
        <v>19</v>
      </c>
    </row>
    <row r="168" spans="17:49" x14ac:dyDescent="0.35">
      <c r="Q168" t="s">
        <v>172</v>
      </c>
      <c r="R168" s="67">
        <v>1263.9570000000001</v>
      </c>
      <c r="U168" s="3" t="str">
        <v>Bush Somerset Collection Bookcase</v>
      </c>
      <c r="V168" s="1">
        <v>1263.9570000000001</v>
      </c>
      <c r="W168" s="1">
        <v>0</v>
      </c>
      <c r="X168" s="1"/>
      <c r="Y168" s="1"/>
      <c r="Z168" s="1"/>
      <c r="AC168" s="3" t="str">
        <f t="shared" si="14"/>
        <v/>
      </c>
      <c r="AE168" s="1"/>
      <c r="AG168" s="1"/>
      <c r="AK168" t="s">
        <v>163</v>
      </c>
      <c r="AL168" s="67">
        <v>3401.6</v>
      </c>
      <c r="AM168" s="67">
        <v>408.19200000000001</v>
      </c>
      <c r="AN168" s="55">
        <v>0.95</v>
      </c>
      <c r="AO168" s="69">
        <v>4</v>
      </c>
      <c r="AP168" s="69">
        <v>19</v>
      </c>
      <c r="AR168" s="3" t="str">
        <v>Bush Advantage Collection Round Conference Table</v>
      </c>
      <c r="AS168" s="1">
        <v>3401.6</v>
      </c>
      <c r="AT168" s="3">
        <v>408.19200000000001</v>
      </c>
      <c r="AU168" s="16">
        <v>0.95</v>
      </c>
      <c r="AV168" s="3">
        <v>4</v>
      </c>
      <c r="AW168" s="3">
        <v>19</v>
      </c>
    </row>
    <row r="169" spans="17:49" x14ac:dyDescent="0.35">
      <c r="Q169" t="s">
        <v>356</v>
      </c>
      <c r="R169" s="67">
        <v>1242.0540000000001</v>
      </c>
      <c r="U169" s="3" t="str">
        <v>Hon Valutask Swivel Chairs</v>
      </c>
      <c r="V169" s="1">
        <v>1242.0540000000001</v>
      </c>
      <c r="W169" s="1">
        <v>0</v>
      </c>
      <c r="X169" s="1"/>
      <c r="Y169" s="1"/>
      <c r="Z169" s="1"/>
      <c r="AC169" s="3" t="str">
        <f t="shared" si="14"/>
        <v/>
      </c>
      <c r="AE169" s="1"/>
      <c r="AG169" s="1"/>
      <c r="AK169" t="s">
        <v>180</v>
      </c>
      <c r="AL169" s="67">
        <v>3354.89</v>
      </c>
      <c r="AM169" s="67">
        <v>370.34500000000003</v>
      </c>
      <c r="AN169" s="55">
        <v>1.1000000000000001</v>
      </c>
      <c r="AO169" s="69">
        <v>6</v>
      </c>
      <c r="AP169" s="69">
        <v>18</v>
      </c>
      <c r="AR169" s="3" t="str">
        <v>Chromcraft Bull-Nose Wood Round Conference Table Top, Wood Base</v>
      </c>
      <c r="AS169" s="1">
        <v>3354.89</v>
      </c>
      <c r="AT169" s="3">
        <v>370.34500000000003</v>
      </c>
      <c r="AU169" s="16">
        <v>1.1000000000000001</v>
      </c>
      <c r="AV169" s="3">
        <v>6</v>
      </c>
      <c r="AW169" s="3">
        <v>18</v>
      </c>
    </row>
    <row r="170" spans="17:49" x14ac:dyDescent="0.35">
      <c r="Q170" t="s">
        <v>330</v>
      </c>
      <c r="R170" s="67">
        <v>1231.56</v>
      </c>
      <c r="U170" s="3" t="str">
        <v>Hon 4060 Series Tables</v>
      </c>
      <c r="V170" s="1">
        <v>1231.56</v>
      </c>
      <c r="W170" s="1">
        <v>0</v>
      </c>
      <c r="X170" s="1"/>
      <c r="Y170" s="1"/>
      <c r="Z170" s="1"/>
      <c r="AC170" s="3" t="str">
        <f t="shared" si="14"/>
        <v/>
      </c>
      <c r="AE170" s="1"/>
      <c r="AG170" s="1"/>
      <c r="AK170" t="s">
        <v>193</v>
      </c>
      <c r="AL170" s="67">
        <v>108.93600000000001</v>
      </c>
      <c r="AM170" s="67">
        <v>11.214</v>
      </c>
      <c r="AN170" s="55">
        <v>2.4000000000000004</v>
      </c>
      <c r="AO170" s="69">
        <v>7</v>
      </c>
      <c r="AP170" s="69">
        <v>15</v>
      </c>
      <c r="AR170" s="3" t="str">
        <v>Dana Swing-Arm Lamps</v>
      </c>
      <c r="AS170" s="1">
        <v>108.93600000000001</v>
      </c>
      <c r="AT170" s="3">
        <v>11.214</v>
      </c>
      <c r="AU170" s="16">
        <v>2.4000000000000004</v>
      </c>
      <c r="AV170" s="3">
        <v>7</v>
      </c>
      <c r="AW170" s="3">
        <v>15</v>
      </c>
    </row>
    <row r="171" spans="17:49" x14ac:dyDescent="0.35">
      <c r="Q171" t="s">
        <v>236</v>
      </c>
      <c r="R171" s="67">
        <v>1200.9359999999999</v>
      </c>
      <c r="U171" s="3" t="str">
        <v>Eldon ClusterMat Chair Mat with Cordless Antistatic Protection</v>
      </c>
      <c r="V171" s="1">
        <v>1200.9359999999999</v>
      </c>
      <c r="W171" s="1">
        <v>0</v>
      </c>
      <c r="X171" s="1"/>
      <c r="Y171" s="1"/>
      <c r="Z171" s="1"/>
      <c r="AC171" s="3" t="str">
        <f t="shared" si="14"/>
        <v/>
      </c>
      <c r="AE171" s="1"/>
      <c r="AG171" s="1"/>
      <c r="AK171" t="s">
        <v>198</v>
      </c>
      <c r="AL171" s="67">
        <v>119.556</v>
      </c>
      <c r="AM171" s="67">
        <v>37.7622</v>
      </c>
      <c r="AN171" s="55">
        <v>0.6</v>
      </c>
      <c r="AO171" s="69">
        <v>3</v>
      </c>
      <c r="AP171" s="69">
        <v>10</v>
      </c>
      <c r="AR171" s="3" t="str">
        <v>DAX Clear Channel Poster Frame</v>
      </c>
      <c r="AS171" s="1">
        <v>119.556</v>
      </c>
      <c r="AT171" s="3">
        <v>37.7622</v>
      </c>
      <c r="AU171" s="16">
        <v>0.6</v>
      </c>
      <c r="AV171" s="3">
        <v>3</v>
      </c>
      <c r="AW171" s="3">
        <v>10</v>
      </c>
    </row>
    <row r="172" spans="17:49" x14ac:dyDescent="0.35">
      <c r="Q172" t="s">
        <v>359</v>
      </c>
      <c r="R172" s="67">
        <v>1184.232</v>
      </c>
      <c r="U172" s="3" t="str">
        <v>Howard Miller 11-1/2" Diameter Ridgewood Wall Clock</v>
      </c>
      <c r="V172" s="1">
        <v>1184.232</v>
      </c>
      <c r="W172" s="1">
        <v>0</v>
      </c>
      <c r="X172" s="1"/>
      <c r="Y172" s="1"/>
      <c r="Z172" s="1"/>
      <c r="AC172" s="3" t="str">
        <f t="shared" si="14"/>
        <v/>
      </c>
      <c r="AE172" s="1"/>
      <c r="AG172" s="1"/>
      <c r="AK172" t="s">
        <v>200</v>
      </c>
      <c r="AL172" s="67">
        <v>171.08799999999999</v>
      </c>
      <c r="AM172" s="67">
        <v>51.074800000000003</v>
      </c>
      <c r="AN172" s="55">
        <v>1</v>
      </c>
      <c r="AO172" s="69">
        <v>5</v>
      </c>
      <c r="AP172" s="69">
        <v>18</v>
      </c>
      <c r="AR172" s="3" t="str">
        <v>DAX Copper Panel Document Frame, 5 x 7 Size</v>
      </c>
      <c r="AS172" s="1">
        <v>171.08799999999999</v>
      </c>
      <c r="AT172" s="3">
        <v>51.074800000000003</v>
      </c>
      <c r="AU172" s="16">
        <v>1</v>
      </c>
      <c r="AV172" s="3">
        <v>5</v>
      </c>
      <c r="AW172" s="3">
        <v>18</v>
      </c>
    </row>
    <row r="173" spans="17:49" x14ac:dyDescent="0.35">
      <c r="Q173" t="s">
        <v>420</v>
      </c>
      <c r="R173" s="67">
        <v>1119.1949999999999</v>
      </c>
      <c r="U173" s="3" t="str">
        <v>O'Sullivan 3-Shelf Heavy-Duty Bookcases</v>
      </c>
      <c r="V173" s="1">
        <v>1119.1949999999999</v>
      </c>
      <c r="W173" s="1">
        <v>0</v>
      </c>
      <c r="X173" s="1"/>
      <c r="Y173" s="1"/>
      <c r="Z173" s="1"/>
      <c r="AC173" s="3" t="str">
        <f t="shared" si="14"/>
        <v/>
      </c>
      <c r="AE173" s="1"/>
      <c r="AG173" s="1"/>
      <c r="AK173" t="s">
        <v>211</v>
      </c>
      <c r="AL173" s="67">
        <v>159.268</v>
      </c>
      <c r="AM173" s="67">
        <v>31.579000000000001</v>
      </c>
      <c r="AN173" s="55">
        <v>1.4</v>
      </c>
      <c r="AO173" s="69">
        <v>4</v>
      </c>
      <c r="AP173" s="69">
        <v>16</v>
      </c>
      <c r="AR173" s="3" t="str">
        <v>DAX Wood Document Frame.</v>
      </c>
      <c r="AS173" s="1">
        <v>159.268</v>
      </c>
      <c r="AT173" s="3">
        <v>31.579000000000001</v>
      </c>
      <c r="AU173" s="16">
        <v>1.4</v>
      </c>
      <c r="AV173" s="3">
        <v>4</v>
      </c>
      <c r="AW173" s="3">
        <v>16</v>
      </c>
    </row>
    <row r="174" spans="17:49" x14ac:dyDescent="0.35">
      <c r="Q174" t="s">
        <v>215</v>
      </c>
      <c r="R174" s="67">
        <v>1115.6400000000001</v>
      </c>
      <c r="U174" s="3" t="str">
        <v>Deflect-o EconoMat Studded, No Bevel Mat for Low Pile Carpeting</v>
      </c>
      <c r="V174" s="1">
        <v>1115.6400000000001</v>
      </c>
      <c r="W174" s="1">
        <v>0</v>
      </c>
      <c r="X174" s="1"/>
      <c r="Y174" s="1"/>
      <c r="Z174" s="1"/>
      <c r="AC174" s="3" t="str">
        <f t="shared" si="14"/>
        <v/>
      </c>
      <c r="AE174" s="1"/>
      <c r="AG174" s="1"/>
      <c r="AK174" t="s">
        <v>223</v>
      </c>
      <c r="AL174" s="67">
        <v>36.396000000000001</v>
      </c>
      <c r="AM174" s="67">
        <v>6.4703999999999997</v>
      </c>
      <c r="AN174" s="55">
        <v>1.2</v>
      </c>
      <c r="AO174" s="69">
        <v>4</v>
      </c>
      <c r="AP174" s="69">
        <v>18</v>
      </c>
      <c r="AR174" s="3" t="str">
        <v>Eldon 100 Class Desk Accessories</v>
      </c>
      <c r="AS174" s="1">
        <v>36.396000000000001</v>
      </c>
      <c r="AT174" s="3">
        <v>6.4703999999999997</v>
      </c>
      <c r="AU174" s="16">
        <v>1.2</v>
      </c>
      <c r="AV174" s="3">
        <v>4</v>
      </c>
      <c r="AW174" s="3">
        <v>18</v>
      </c>
    </row>
    <row r="175" spans="17:49" x14ac:dyDescent="0.35">
      <c r="Q175" t="s">
        <v>192</v>
      </c>
      <c r="R175" s="67">
        <v>1114.384</v>
      </c>
      <c r="U175" s="3" t="str">
        <v>Dana Halogen Swing-Arm Architect Lamp</v>
      </c>
      <c r="V175" s="1">
        <v>1114.384</v>
      </c>
      <c r="W175" s="1">
        <v>0</v>
      </c>
      <c r="X175" s="1"/>
      <c r="Y175" s="1"/>
      <c r="Z175" s="1"/>
      <c r="AC175" s="3" t="str">
        <f t="shared" si="14"/>
        <v/>
      </c>
      <c r="AE175" s="1"/>
      <c r="AG175" s="1"/>
      <c r="AK175" t="s">
        <v>234</v>
      </c>
      <c r="AL175" s="67">
        <v>344.1</v>
      </c>
      <c r="AM175" s="67">
        <v>36.075000000000003</v>
      </c>
      <c r="AN175" s="55">
        <v>1.2</v>
      </c>
      <c r="AO175" s="69">
        <v>4</v>
      </c>
      <c r="AP175" s="69">
        <v>8</v>
      </c>
      <c r="AR175" s="3" t="str">
        <v>Eldon Cleatmat Chair Mats for Medium Pile Carpets</v>
      </c>
      <c r="AS175" s="1">
        <v>344.1</v>
      </c>
      <c r="AT175" s="3">
        <v>36.075000000000003</v>
      </c>
      <c r="AU175" s="16">
        <v>1.2</v>
      </c>
      <c r="AV175" s="3">
        <v>4</v>
      </c>
      <c r="AW175" s="3">
        <v>8</v>
      </c>
    </row>
    <row r="176" spans="17:49" x14ac:dyDescent="0.35">
      <c r="Q176" t="s">
        <v>144</v>
      </c>
      <c r="R176" s="67">
        <v>1088.6400000000001</v>
      </c>
      <c r="U176" s="3" t="str">
        <v>Barricks 18" x 48" Non-Folding Utility Table with Bottom Storage Shelf</v>
      </c>
      <c r="V176" s="1">
        <v>1088.6400000000001</v>
      </c>
      <c r="W176" s="1">
        <v>0</v>
      </c>
      <c r="X176" s="1"/>
      <c r="Y176" s="1"/>
      <c r="Z176" s="1"/>
      <c r="AC176" s="3" t="str">
        <f t="shared" si="14"/>
        <v/>
      </c>
      <c r="AE176" s="1"/>
      <c r="AG176" s="1"/>
      <c r="AK176" t="s">
        <v>241</v>
      </c>
      <c r="AL176" s="67">
        <v>108.08</v>
      </c>
      <c r="AM176" s="67">
        <v>21.23</v>
      </c>
      <c r="AN176" s="55">
        <v>0.8</v>
      </c>
      <c r="AO176" s="69">
        <v>4</v>
      </c>
      <c r="AP176" s="69">
        <v>15</v>
      </c>
      <c r="AR176" s="3" t="str">
        <v>Eldon Expressions Desk Accessory, Wood Pencil Holder, Oak</v>
      </c>
      <c r="AS176" s="1">
        <v>108.08</v>
      </c>
      <c r="AT176" s="3">
        <v>21.23</v>
      </c>
      <c r="AU176" s="16">
        <v>0.8</v>
      </c>
      <c r="AV176" s="3">
        <v>4</v>
      </c>
      <c r="AW176" s="3">
        <v>15</v>
      </c>
    </row>
    <row r="177" spans="17:49" x14ac:dyDescent="0.35">
      <c r="Q177" t="s">
        <v>294</v>
      </c>
      <c r="R177" s="67">
        <v>1087.92</v>
      </c>
      <c r="U177" s="3" t="str">
        <v>Global Deluxe High-Back Office Chair in Storm</v>
      </c>
      <c r="V177" s="1">
        <v>1087.92</v>
      </c>
      <c r="W177" s="1">
        <v>0</v>
      </c>
      <c r="X177" s="1"/>
      <c r="Y177" s="1"/>
      <c r="Z177" s="1"/>
      <c r="AC177" s="3" t="str">
        <f t="shared" si="14"/>
        <v/>
      </c>
      <c r="AE177" s="1"/>
      <c r="AG177" s="1"/>
      <c r="AK177" t="s">
        <v>255</v>
      </c>
      <c r="AL177" s="67">
        <v>39.688000000000002</v>
      </c>
      <c r="AM177" s="67">
        <v>13.116400000000001</v>
      </c>
      <c r="AN177" s="55">
        <v>0.2</v>
      </c>
      <c r="AO177" s="69">
        <v>3</v>
      </c>
      <c r="AP177" s="69">
        <v>9</v>
      </c>
      <c r="AR177" s="3" t="str">
        <v>Eldon Regeneration Recycled Desk Accessories, Black</v>
      </c>
      <c r="AS177" s="1">
        <v>39.688000000000002</v>
      </c>
      <c r="AT177" s="3">
        <v>13.116400000000001</v>
      </c>
      <c r="AU177" s="16">
        <v>0.2</v>
      </c>
      <c r="AV177" s="3">
        <v>3</v>
      </c>
      <c r="AW177" s="3">
        <v>9</v>
      </c>
    </row>
    <row r="178" spans="17:49" x14ac:dyDescent="0.35">
      <c r="Q178" t="s">
        <v>423</v>
      </c>
      <c r="R178" s="67">
        <v>1072.3440000000001</v>
      </c>
      <c r="U178" s="3" t="str">
        <v>O'Sullivan Cherrywood Estates Traditional Barrister Bookcase</v>
      </c>
      <c r="V178" s="1">
        <v>1072.3440000000001</v>
      </c>
      <c r="W178" s="1">
        <v>0</v>
      </c>
      <c r="X178" s="1"/>
      <c r="Y178" s="1"/>
      <c r="Z178" s="1"/>
      <c r="AC178" s="3" t="str">
        <f t="shared" si="14"/>
        <v/>
      </c>
      <c r="AE178" s="1"/>
      <c r="AG178" s="1"/>
      <c r="AK178" t="s">
        <v>267</v>
      </c>
      <c r="AL178" s="67">
        <v>315.37200000000001</v>
      </c>
      <c r="AM178" s="67">
        <v>103.0728</v>
      </c>
      <c r="AN178" s="55">
        <v>1.8000000000000003</v>
      </c>
      <c r="AO178" s="69">
        <v>8</v>
      </c>
      <c r="AP178" s="69">
        <v>20</v>
      </c>
      <c r="AR178" s="3" t="str">
        <v>Executive Impressions 13" Clairmont Wall Clock</v>
      </c>
      <c r="AS178" s="1">
        <v>315.37200000000001</v>
      </c>
      <c r="AT178" s="3">
        <v>103.0728</v>
      </c>
      <c r="AU178" s="16">
        <v>1.8000000000000003</v>
      </c>
      <c r="AV178" s="3">
        <v>8</v>
      </c>
      <c r="AW178" s="3">
        <v>20</v>
      </c>
    </row>
    <row r="179" spans="17:49" x14ac:dyDescent="0.35">
      <c r="Q179" t="s">
        <v>448</v>
      </c>
      <c r="R179" s="67">
        <v>1064.624</v>
      </c>
      <c r="U179" s="3" t="str">
        <v>Sauder Camden County Barrister Bookcase, Planked Cherry Finish</v>
      </c>
      <c r="V179" s="1">
        <v>1064.624</v>
      </c>
      <c r="W179" s="1">
        <v>0</v>
      </c>
      <c r="X179" s="1"/>
      <c r="Y179" s="1"/>
      <c r="Z179" s="1"/>
      <c r="AC179" s="3" t="str">
        <f t="shared" si="14"/>
        <v/>
      </c>
      <c r="AE179" s="1"/>
      <c r="AG179" s="1"/>
      <c r="AK179" t="s">
        <v>271</v>
      </c>
      <c r="AL179" s="67">
        <v>97.811999999999998</v>
      </c>
      <c r="AM179" s="67">
        <v>16.005600000000001</v>
      </c>
      <c r="AN179" s="55">
        <v>0.8</v>
      </c>
      <c r="AO179" s="69">
        <v>2</v>
      </c>
      <c r="AP179" s="69">
        <v>8</v>
      </c>
      <c r="AR179" s="3" t="str">
        <v>Executive Impressions 14" Contract Wall Clock with Quartz Movement</v>
      </c>
      <c r="AS179" s="1">
        <v>97.811999999999998</v>
      </c>
      <c r="AT179" s="3">
        <v>16.005600000000001</v>
      </c>
      <c r="AU179" s="16">
        <v>0.8</v>
      </c>
      <c r="AV179" s="3">
        <v>2</v>
      </c>
      <c r="AW179" s="3">
        <v>8</v>
      </c>
    </row>
    <row r="180" spans="17:49" x14ac:dyDescent="0.35">
      <c r="Q180" t="s">
        <v>363</v>
      </c>
      <c r="R180" s="67">
        <v>1047.7360000000001</v>
      </c>
      <c r="U180" s="3" t="str">
        <v>Howard Miller 13" Diameter Pewter Finish Round Wall Clock</v>
      </c>
      <c r="V180" s="1">
        <v>1047.7360000000001</v>
      </c>
      <c r="W180" s="1">
        <v>0</v>
      </c>
      <c r="X180" s="1"/>
      <c r="Y180" s="1"/>
      <c r="Z180" s="1"/>
      <c r="AC180" s="3" t="str">
        <f t="shared" si="14"/>
        <v/>
      </c>
      <c r="AE180" s="1"/>
      <c r="AG180" s="1"/>
      <c r="AK180" t="s">
        <v>283</v>
      </c>
      <c r="AL180" s="67">
        <v>163.33199999999999</v>
      </c>
      <c r="AM180" s="67">
        <v>30.7818</v>
      </c>
      <c r="AN180" s="55">
        <v>1.2</v>
      </c>
      <c r="AO180" s="69">
        <v>3</v>
      </c>
      <c r="AP180" s="69">
        <v>15</v>
      </c>
      <c r="AR180" s="3" t="str">
        <v>GE General Use Halogen Bulbs, 100 Watts, 1 Bulb per Pack</v>
      </c>
      <c r="AS180" s="1">
        <v>163.33199999999999</v>
      </c>
      <c r="AT180" s="3">
        <v>30.7818</v>
      </c>
      <c r="AU180" s="16">
        <v>1.2</v>
      </c>
      <c r="AV180" s="3">
        <v>3</v>
      </c>
      <c r="AW180" s="3">
        <v>15</v>
      </c>
    </row>
    <row r="181" spans="17:49" x14ac:dyDescent="0.35">
      <c r="Q181" t="s">
        <v>362</v>
      </c>
      <c r="R181" s="67">
        <v>1042.068</v>
      </c>
      <c r="U181" s="3" t="str">
        <v>Howard Miller 13" Diameter Goldtone Round Wall Clock</v>
      </c>
      <c r="V181" s="1">
        <v>1042.068</v>
      </c>
      <c r="W181" s="1">
        <v>0</v>
      </c>
      <c r="X181" s="1"/>
      <c r="Y181" s="1"/>
      <c r="Z181" s="1"/>
      <c r="AC181" s="3" t="str">
        <f t="shared" si="14"/>
        <v/>
      </c>
      <c r="AE181" s="1"/>
      <c r="AG181" s="1"/>
      <c r="AK181" t="s">
        <v>293</v>
      </c>
      <c r="AL181" s="67">
        <v>8665.1939999999995</v>
      </c>
      <c r="AM181" s="67">
        <v>1584.3291999999999</v>
      </c>
      <c r="AN181" s="55">
        <v>1.5000000000000002</v>
      </c>
      <c r="AO181" s="69">
        <v>8</v>
      </c>
      <c r="AP181" s="69">
        <v>35</v>
      </c>
      <c r="AR181" s="3" t="str">
        <v>Global Deluxe High-Back Manager's Chair</v>
      </c>
      <c r="AS181" s="1">
        <v>8665.1939999999995</v>
      </c>
      <c r="AT181" s="3">
        <v>1584.3291999999999</v>
      </c>
      <c r="AU181" s="16">
        <v>1.5000000000000002</v>
      </c>
      <c r="AV181" s="3">
        <v>8</v>
      </c>
      <c r="AW181" s="3">
        <v>35</v>
      </c>
    </row>
    <row r="182" spans="17:49" x14ac:dyDescent="0.35">
      <c r="Q182" t="s">
        <v>143</v>
      </c>
      <c r="R182" s="67">
        <v>1040.625</v>
      </c>
      <c r="U182" s="3" t="str">
        <v>Balt Split Level Computer Training Table</v>
      </c>
      <c r="V182" s="1">
        <v>1040.625</v>
      </c>
      <c r="W182" s="1">
        <v>0</v>
      </c>
      <c r="X182" s="1"/>
      <c r="Y182" s="1"/>
      <c r="Z182" s="1"/>
      <c r="AC182" s="3" t="str">
        <f t="shared" si="14"/>
        <v/>
      </c>
      <c r="AE182" s="1"/>
      <c r="AG182" s="1"/>
      <c r="AK182" t="s">
        <v>307</v>
      </c>
      <c r="AL182" s="67">
        <v>1689.9680000000001</v>
      </c>
      <c r="AM182" s="67">
        <v>60.356000000000002</v>
      </c>
      <c r="AN182" s="55">
        <v>0.90000000000000013</v>
      </c>
      <c r="AO182" s="69">
        <v>5</v>
      </c>
      <c r="AP182" s="69">
        <v>13</v>
      </c>
      <c r="AR182" s="3" t="str">
        <v>Global Leather &amp; Oak Executive Chair, Burgundy</v>
      </c>
      <c r="AS182" s="1">
        <v>1689.9680000000001</v>
      </c>
      <c r="AT182" s="3">
        <v>60.356000000000002</v>
      </c>
      <c r="AU182" s="16">
        <v>0.90000000000000013</v>
      </c>
      <c r="AV182" s="3">
        <v>5</v>
      </c>
      <c r="AW182" s="3">
        <v>13</v>
      </c>
    </row>
    <row r="183" spans="17:49" x14ac:dyDescent="0.35">
      <c r="Q183" t="s">
        <v>453</v>
      </c>
      <c r="R183" s="67">
        <v>1014.174</v>
      </c>
      <c r="U183" s="3" t="str">
        <v>Sauder Forest Hills Library with Doors, Woodland Oak Finish</v>
      </c>
      <c r="V183" s="1">
        <v>1014.174</v>
      </c>
      <c r="W183" s="1">
        <v>0</v>
      </c>
      <c r="X183" s="1"/>
      <c r="Y183" s="1"/>
      <c r="Z183" s="1"/>
      <c r="AC183" s="3" t="str">
        <f t="shared" si="14"/>
        <v/>
      </c>
      <c r="AE183" s="1"/>
      <c r="AG183" s="1"/>
      <c r="AK183" t="s">
        <v>316</v>
      </c>
      <c r="AL183" s="67">
        <v>901.50599999999997</v>
      </c>
      <c r="AM183" s="67">
        <v>71.444999999999993</v>
      </c>
      <c r="AN183" s="55">
        <v>1.2000000000000002</v>
      </c>
      <c r="AO183" s="69">
        <v>7</v>
      </c>
      <c r="AP183" s="69">
        <v>44</v>
      </c>
      <c r="AR183" s="3" t="str">
        <v>Global Stack Chair without Arms, Black</v>
      </c>
      <c r="AS183" s="1">
        <v>901.50599999999997</v>
      </c>
      <c r="AT183" s="3">
        <v>71.444999999999993</v>
      </c>
      <c r="AU183" s="16">
        <v>1.2000000000000002</v>
      </c>
      <c r="AV183" s="3">
        <v>7</v>
      </c>
      <c r="AW183" s="3">
        <v>44</v>
      </c>
    </row>
    <row r="184" spans="17:49" x14ac:dyDescent="0.35">
      <c r="Q184" t="s">
        <v>477</v>
      </c>
      <c r="R184" s="67">
        <v>1010.782</v>
      </c>
      <c r="U184" s="3" t="str">
        <v>Tenex Contemporary Contur Chairmats for Low and Medium Pile Carpet, Computer, 39" x 49"</v>
      </c>
      <c r="V184" s="1">
        <v>1010.782</v>
      </c>
      <c r="W184" s="1">
        <v>0</v>
      </c>
      <c r="X184" s="1"/>
      <c r="Y184" s="1"/>
      <c r="Z184" s="1"/>
      <c r="AC184" s="3" t="str">
        <f t="shared" si="14"/>
        <v/>
      </c>
      <c r="AE184" s="1"/>
      <c r="AG184" s="1"/>
      <c r="AK184" t="s">
        <v>117</v>
      </c>
      <c r="AL184" s="67">
        <v>9070.9439999999995</v>
      </c>
      <c r="AM184" s="67">
        <v>803.00160000000005</v>
      </c>
      <c r="AN184" s="55">
        <v>1.8</v>
      </c>
      <c r="AO184" s="69">
        <v>8</v>
      </c>
      <c r="AP184" s="69">
        <v>31</v>
      </c>
      <c r="AR184" s="3" t="str">
        <v>GuestStacker Chair with Chrome Finish Legs</v>
      </c>
      <c r="AS184" s="1">
        <v>9070.9439999999995</v>
      </c>
      <c r="AT184" s="3">
        <v>803.00160000000005</v>
      </c>
      <c r="AU184" s="16">
        <v>1.8</v>
      </c>
      <c r="AV184" s="3">
        <v>8</v>
      </c>
      <c r="AW184" s="3">
        <v>31</v>
      </c>
    </row>
    <row r="185" spans="17:49" x14ac:dyDescent="0.35">
      <c r="Q185" t="s">
        <v>151</v>
      </c>
      <c r="R185" s="67">
        <v>1007.2619999999999</v>
      </c>
      <c r="U185" s="3" t="str">
        <v>Bevis Rectangular Conference Tables</v>
      </c>
      <c r="V185" s="1">
        <v>1007.2619999999999</v>
      </c>
      <c r="W185" s="1">
        <v>0</v>
      </c>
      <c r="X185" s="1"/>
      <c r="Y185" s="1"/>
      <c r="Z185" s="1"/>
      <c r="AC185" s="3" t="str">
        <f t="shared" si="14"/>
        <v/>
      </c>
      <c r="AE185" s="1"/>
      <c r="AG185" s="1"/>
      <c r="AK185" t="s">
        <v>354</v>
      </c>
      <c r="AL185" s="67">
        <v>3963.9009999999998</v>
      </c>
      <c r="AM185" s="67">
        <v>168.00640000000001</v>
      </c>
      <c r="AN185" s="55">
        <v>1.7</v>
      </c>
      <c r="AO185" s="69">
        <v>6</v>
      </c>
      <c r="AP185" s="69">
        <v>22</v>
      </c>
      <c r="AR185" s="3" t="str">
        <v>Hon Racetrack Conference Tables</v>
      </c>
      <c r="AS185" s="1">
        <v>3963.9009999999998</v>
      </c>
      <c r="AT185" s="3">
        <v>168.00640000000001</v>
      </c>
      <c r="AU185" s="16">
        <v>1.7</v>
      </c>
      <c r="AV185" s="3">
        <v>6</v>
      </c>
      <c r="AW185" s="3">
        <v>22</v>
      </c>
    </row>
    <row r="186" spans="17:49" x14ac:dyDescent="0.35">
      <c r="Q186" t="s">
        <v>222</v>
      </c>
      <c r="R186" s="67">
        <v>1002.936</v>
      </c>
      <c r="U186" s="3" t="str">
        <v>Eldon "L" Workstation Diamond Chairmat</v>
      </c>
      <c r="V186" s="1">
        <v>1002.936</v>
      </c>
      <c r="W186" s="1">
        <v>0</v>
      </c>
      <c r="X186" s="1"/>
      <c r="Y186" s="1"/>
      <c r="Z186" s="1"/>
      <c r="AC186" s="3" t="str">
        <f t="shared" si="14"/>
        <v/>
      </c>
      <c r="AE186" s="1"/>
      <c r="AG186" s="1"/>
      <c r="AK186" t="s">
        <v>357</v>
      </c>
      <c r="AL186" s="67">
        <v>681.45399999999995</v>
      </c>
      <c r="AM186" s="67">
        <v>271.71899999999999</v>
      </c>
      <c r="AN186" s="55">
        <v>0.6</v>
      </c>
      <c r="AO186" s="69">
        <v>4</v>
      </c>
      <c r="AP186" s="69">
        <v>17</v>
      </c>
      <c r="AR186" s="3" t="str">
        <v>Howard Miller 11-1/2" Diameter Brentwood Wall Clock</v>
      </c>
      <c r="AS186" s="1">
        <v>681.45399999999995</v>
      </c>
      <c r="AT186" s="3">
        <v>271.71899999999999</v>
      </c>
      <c r="AU186" s="16">
        <v>0.6</v>
      </c>
      <c r="AV186" s="3">
        <v>4</v>
      </c>
      <c r="AW186" s="3">
        <v>17</v>
      </c>
    </row>
    <row r="187" spans="17:49" x14ac:dyDescent="0.35">
      <c r="Q187" t="s">
        <v>472</v>
      </c>
      <c r="R187" s="67">
        <v>1002.364</v>
      </c>
      <c r="U187" s="3" t="str">
        <v>Tenex B1-RE Series Chair Mats for Low Pile Carpets</v>
      </c>
      <c r="V187" s="1">
        <v>1002.364</v>
      </c>
      <c r="W187" s="1">
        <v>0</v>
      </c>
      <c r="X187" s="1"/>
      <c r="Y187" s="1"/>
      <c r="Z187" s="1"/>
      <c r="AC187" s="3" t="str">
        <f t="shared" si="14"/>
        <v/>
      </c>
      <c r="AE187" s="1"/>
      <c r="AG187" s="1"/>
      <c r="AK187" t="s">
        <v>361</v>
      </c>
      <c r="AL187" s="67">
        <v>786.9</v>
      </c>
      <c r="AM187" s="67">
        <v>190.4298</v>
      </c>
      <c r="AN187" s="55">
        <v>0.8</v>
      </c>
      <c r="AO187" s="69">
        <v>2</v>
      </c>
      <c r="AP187" s="69">
        <v>14</v>
      </c>
      <c r="AR187" s="3" t="str">
        <v>Howard Miller 12-3/4 Diameter Accuwave DS  Wall Clock</v>
      </c>
      <c r="AS187" s="1">
        <v>786.9</v>
      </c>
      <c r="AT187" s="3">
        <v>190.4298</v>
      </c>
      <c r="AU187" s="16">
        <v>0.8</v>
      </c>
      <c r="AV187" s="3">
        <v>2</v>
      </c>
      <c r="AW187" s="3">
        <v>14</v>
      </c>
    </row>
    <row r="188" spans="17:49" x14ac:dyDescent="0.35">
      <c r="Q188" t="s">
        <v>306</v>
      </c>
      <c r="R188" s="67">
        <v>969.25199999999995</v>
      </c>
      <c r="U188" s="3" t="str">
        <v>Global Italian Leather Office Chair</v>
      </c>
      <c r="V188" s="1">
        <v>969.25199999999995</v>
      </c>
      <c r="W188" s="1">
        <v>0</v>
      </c>
      <c r="X188" s="1"/>
      <c r="Y188" s="1"/>
      <c r="Z188" s="1"/>
      <c r="AC188" s="3" t="str">
        <f t="shared" si="14"/>
        <v/>
      </c>
      <c r="AE188" s="1"/>
      <c r="AG188" s="1"/>
      <c r="AK188" t="s">
        <v>373</v>
      </c>
      <c r="AL188" s="67">
        <v>2096.1680000000001</v>
      </c>
      <c r="AM188" s="67">
        <v>0</v>
      </c>
      <c r="AN188" s="55">
        <v>0.7</v>
      </c>
      <c r="AO188" s="69">
        <v>3</v>
      </c>
      <c r="AP188" s="69">
        <v>18</v>
      </c>
      <c r="AR188" s="3" t="str">
        <v>Laminate Occasional Tables</v>
      </c>
      <c r="AS188" s="1">
        <v>2096.1680000000001</v>
      </c>
      <c r="AT188" s="3">
        <v>0</v>
      </c>
      <c r="AU188" s="16">
        <v>0.7</v>
      </c>
      <c r="AV188" s="3">
        <v>3</v>
      </c>
      <c r="AW188" s="3">
        <v>18</v>
      </c>
    </row>
    <row r="189" spans="17:49" x14ac:dyDescent="0.35">
      <c r="Q189" t="s">
        <v>341</v>
      </c>
      <c r="R189" s="67">
        <v>967.84</v>
      </c>
      <c r="U189" s="3" t="str">
        <v>Hon Every-Day Chair Series Swivel Task Chairs</v>
      </c>
      <c r="V189" s="1">
        <v>967.84</v>
      </c>
      <c r="W189" s="1">
        <v>0</v>
      </c>
      <c r="X189" s="1"/>
      <c r="Y189" s="1"/>
      <c r="Z189" s="1"/>
      <c r="AC189" s="3" t="str">
        <f t="shared" si="14"/>
        <v/>
      </c>
      <c r="AE189" s="1"/>
      <c r="AG189" s="1"/>
      <c r="AK189" t="s">
        <v>390</v>
      </c>
      <c r="AL189" s="67">
        <v>47.752000000000002</v>
      </c>
      <c r="AM189" s="67">
        <v>15.5448</v>
      </c>
      <c r="AN189" s="55">
        <v>0.6</v>
      </c>
      <c r="AO189" s="69">
        <v>4</v>
      </c>
      <c r="AP189" s="69">
        <v>10</v>
      </c>
      <c r="AR189" s="3" t="str">
        <v>Master Caster Door Stop, Gray</v>
      </c>
      <c r="AS189" s="1">
        <v>47.752000000000002</v>
      </c>
      <c r="AT189" s="3">
        <v>15.5448</v>
      </c>
      <c r="AU189" s="16">
        <v>0.6</v>
      </c>
      <c r="AV189" s="3">
        <v>4</v>
      </c>
      <c r="AW189" s="3">
        <v>10</v>
      </c>
    </row>
    <row r="190" spans="17:49" x14ac:dyDescent="0.35">
      <c r="Q190" t="s">
        <v>364</v>
      </c>
      <c r="R190" s="67">
        <v>949.02599999999995</v>
      </c>
      <c r="U190" s="3" t="str">
        <v>Howard Miller 13-1/2" Diameter Rosebrook Wall Clock</v>
      </c>
      <c r="V190" s="1">
        <v>949.02599999999995</v>
      </c>
      <c r="W190" s="1">
        <v>0</v>
      </c>
      <c r="X190" s="1"/>
      <c r="Y190" s="1"/>
      <c r="Z190" s="1"/>
      <c r="AC190" s="3" t="str">
        <f t="shared" si="14"/>
        <v/>
      </c>
      <c r="AE190" s="1"/>
      <c r="AG190" s="1"/>
      <c r="AK190" t="s">
        <v>391</v>
      </c>
      <c r="AL190" s="67">
        <v>59.695999999999998</v>
      </c>
      <c r="AM190" s="67">
        <v>19.364799999999999</v>
      </c>
      <c r="AN190" s="55">
        <v>0.6</v>
      </c>
      <c r="AO190" s="69">
        <v>3</v>
      </c>
      <c r="AP190" s="69">
        <v>10</v>
      </c>
      <c r="AR190" s="3" t="str">
        <v>Master Caster Door Stop, Large Brown</v>
      </c>
      <c r="AS190" s="1">
        <v>59.695999999999998</v>
      </c>
      <c r="AT190" s="3">
        <v>19.364799999999999</v>
      </c>
      <c r="AU190" s="16">
        <v>0.6</v>
      </c>
      <c r="AV190" s="3">
        <v>3</v>
      </c>
      <c r="AW190" s="3">
        <v>10</v>
      </c>
    </row>
    <row r="191" spans="17:49" x14ac:dyDescent="0.35">
      <c r="Q191" t="s">
        <v>456</v>
      </c>
      <c r="R191" s="67">
        <v>935.19719999999995</v>
      </c>
      <c r="U191" s="3" t="str">
        <v>Sauder Mission Library with Doors, Fruitwood Finish</v>
      </c>
      <c r="V191" s="1">
        <v>935.19719999999995</v>
      </c>
      <c r="W191" s="1">
        <v>0</v>
      </c>
      <c r="X191" s="1"/>
      <c r="Y191" s="1"/>
      <c r="Z191" s="1"/>
      <c r="AC191" s="3" t="str">
        <f t="shared" si="14"/>
        <v/>
      </c>
      <c r="AE191" s="1"/>
      <c r="AG191" s="1"/>
      <c r="AK191" t="s">
        <v>407</v>
      </c>
      <c r="AL191" s="67">
        <v>694.19399999999996</v>
      </c>
      <c r="AM191" s="67">
        <v>0</v>
      </c>
      <c r="AN191" s="55">
        <v>0.5</v>
      </c>
      <c r="AO191" s="69">
        <v>2</v>
      </c>
      <c r="AP191" s="69">
        <v>7</v>
      </c>
      <c r="AR191" s="3" t="str">
        <v>Office Star - Contemporary Task Swivel chair with 2-way adjustable arms, Plum</v>
      </c>
      <c r="AS191" s="1">
        <v>694.19399999999996</v>
      </c>
      <c r="AT191" s="3">
        <v>0</v>
      </c>
      <c r="AU191" s="16">
        <v>0.5</v>
      </c>
      <c r="AV191" s="3">
        <v>2</v>
      </c>
      <c r="AW191" s="3">
        <v>7</v>
      </c>
    </row>
    <row r="192" spans="17:49" x14ac:dyDescent="0.35">
      <c r="Q192" t="s">
        <v>396</v>
      </c>
      <c r="R192" s="67">
        <v>922.74</v>
      </c>
      <c r="U192" s="3" t="str">
        <v>Novimex High-Tech Fabric Mesh Task Chair</v>
      </c>
      <c r="V192" s="1">
        <v>922.74</v>
      </c>
      <c r="W192" s="1">
        <v>0</v>
      </c>
      <c r="X192" s="1"/>
      <c r="Y192" s="1"/>
      <c r="Z192" s="1"/>
      <c r="AC192" s="3" t="str">
        <f t="shared" si="14"/>
        <v/>
      </c>
      <c r="AE192" s="1"/>
      <c r="AG192" s="1"/>
      <c r="AK192" t="s">
        <v>413</v>
      </c>
      <c r="AL192" s="67">
        <v>8774.5</v>
      </c>
      <c r="AM192" s="67">
        <v>1305.6456000000001</v>
      </c>
      <c r="AN192" s="55">
        <v>0.8</v>
      </c>
      <c r="AO192" s="69">
        <v>8</v>
      </c>
      <c r="AP192" s="69">
        <v>28</v>
      </c>
      <c r="AR192" s="3" t="str">
        <v>Office Star - Professional Matrix Back Chair with 2-to-1 Synchro Tilt and Mesh Fabric Seat</v>
      </c>
      <c r="AS192" s="1">
        <v>8774.5</v>
      </c>
      <c r="AT192" s="3">
        <v>1305.6456000000001</v>
      </c>
      <c r="AU192" s="16">
        <v>0.8</v>
      </c>
      <c r="AV192" s="3">
        <v>8</v>
      </c>
      <c r="AW192" s="3">
        <v>28</v>
      </c>
    </row>
    <row r="193" spans="17:49" x14ac:dyDescent="0.35">
      <c r="Q193" t="s">
        <v>434</v>
      </c>
      <c r="R193" s="67">
        <v>917.92</v>
      </c>
      <c r="U193" s="3" t="str">
        <v>Riverside Furniture Stanwyck Manor Table Series</v>
      </c>
      <c r="V193" s="1">
        <v>917.92</v>
      </c>
      <c r="W193" s="1">
        <v>0</v>
      </c>
      <c r="X193" s="1"/>
      <c r="Y193" s="1"/>
      <c r="Z193" s="1"/>
      <c r="AC193" s="3" t="str">
        <f t="shared" si="14"/>
        <v/>
      </c>
      <c r="AE193" s="1"/>
      <c r="AG193" s="1"/>
      <c r="AK193" t="s">
        <v>419</v>
      </c>
      <c r="AL193" s="67">
        <v>723.84199999999998</v>
      </c>
      <c r="AM193" s="67">
        <v>62.182400000000001</v>
      </c>
      <c r="AN193" s="55">
        <v>1.1000000000000001</v>
      </c>
      <c r="AO193" s="69">
        <v>6</v>
      </c>
      <c r="AP193" s="69">
        <v>21</v>
      </c>
      <c r="AR193" s="3" t="str">
        <v>O'Sullivan 2-Shelf Heavy-Duty Bookcases</v>
      </c>
      <c r="AS193" s="1">
        <v>723.84199999999998</v>
      </c>
      <c r="AT193" s="3">
        <v>62.182400000000001</v>
      </c>
      <c r="AU193" s="16">
        <v>1.1000000000000001</v>
      </c>
      <c r="AV193" s="3">
        <v>6</v>
      </c>
      <c r="AW193" s="3">
        <v>21</v>
      </c>
    </row>
    <row r="194" spans="17:49" x14ac:dyDescent="0.35">
      <c r="Q194" t="s">
        <v>316</v>
      </c>
      <c r="R194" s="67">
        <v>901.50599999999997</v>
      </c>
      <c r="U194" s="3" t="str">
        <v>Global Stack Chair without Arms, Black</v>
      </c>
      <c r="V194" s="1">
        <v>901.50599999999997</v>
      </c>
      <c r="W194" s="1">
        <v>0</v>
      </c>
      <c r="X194" s="1"/>
      <c r="Y194" s="1"/>
      <c r="Z194" s="1"/>
      <c r="AC194" s="3" t="str">
        <f t="shared" si="14"/>
        <v/>
      </c>
      <c r="AE194" s="1"/>
      <c r="AG194" s="1"/>
      <c r="AK194" t="s">
        <v>423</v>
      </c>
      <c r="AL194" s="67">
        <v>1072.3440000000001</v>
      </c>
      <c r="AM194" s="67">
        <v>48.118000000000002</v>
      </c>
      <c r="AN194" s="55">
        <v>0.3</v>
      </c>
      <c r="AO194" s="69">
        <v>2</v>
      </c>
      <c r="AP194" s="69">
        <v>9</v>
      </c>
      <c r="AR194" s="3" t="str">
        <v>O'Sullivan Cherrywood Estates Traditional Barrister Bookcase</v>
      </c>
      <c r="AS194" s="1">
        <v>1072.3440000000001</v>
      </c>
      <c r="AT194" s="3">
        <v>48.118000000000002</v>
      </c>
      <c r="AU194" s="16">
        <v>0.3</v>
      </c>
      <c r="AV194" s="3">
        <v>2</v>
      </c>
      <c r="AW194" s="3">
        <v>9</v>
      </c>
    </row>
    <row r="195" spans="17:49" x14ac:dyDescent="0.35">
      <c r="Q195" t="s">
        <v>438</v>
      </c>
      <c r="R195" s="67">
        <v>881.19200000000001</v>
      </c>
      <c r="U195" s="3" t="str">
        <v>Safco Chair Connectors, 6/Carton</v>
      </c>
      <c r="V195" s="1">
        <v>881.19200000000001</v>
      </c>
      <c r="W195" s="1">
        <v>0</v>
      </c>
      <c r="X195" s="1"/>
      <c r="Y195" s="1"/>
      <c r="Z195" s="1"/>
      <c r="AC195" s="3" t="str">
        <f t="shared" si="14"/>
        <v/>
      </c>
      <c r="AE195" s="1"/>
      <c r="AG195" s="1"/>
      <c r="AK195" t="s">
        <v>429</v>
      </c>
      <c r="AL195" s="67">
        <v>1646.9179999999999</v>
      </c>
      <c r="AM195" s="67">
        <v>0</v>
      </c>
      <c r="AN195" s="55">
        <v>0.99</v>
      </c>
      <c r="AO195" s="69">
        <v>4</v>
      </c>
      <c r="AP195" s="69">
        <v>12</v>
      </c>
      <c r="AR195" s="3" t="str">
        <v>O'Sullivan Manor Hill 2-Door Library in Brianna Oak</v>
      </c>
      <c r="AS195" s="1">
        <v>1646.9179999999999</v>
      </c>
      <c r="AT195" s="3">
        <v>0</v>
      </c>
      <c r="AU195" s="16">
        <v>0.99</v>
      </c>
      <c r="AV195" s="3">
        <v>4</v>
      </c>
      <c r="AW195" s="3">
        <v>12</v>
      </c>
    </row>
    <row r="196" spans="17:49" x14ac:dyDescent="0.35">
      <c r="Q196" t="s">
        <v>275</v>
      </c>
      <c r="R196" s="67">
        <v>867.26</v>
      </c>
      <c r="U196" s="3" t="str">
        <v>Executive Impressions Supervisor Wall Clock</v>
      </c>
      <c r="V196" s="1">
        <v>867.26</v>
      </c>
      <c r="W196" s="1">
        <v>0</v>
      </c>
      <c r="X196" s="1"/>
      <c r="Y196" s="1"/>
      <c r="Z196" s="1"/>
      <c r="AC196" s="3" t="str">
        <f t="shared" si="14"/>
        <v/>
      </c>
      <c r="AE196" s="1"/>
      <c r="AG196" s="1"/>
      <c r="AK196" t="s">
        <v>437</v>
      </c>
      <c r="AL196" s="67">
        <v>489.37920000000003</v>
      </c>
      <c r="AM196" s="67">
        <v>20.927399999999999</v>
      </c>
      <c r="AN196" s="55">
        <v>0.32</v>
      </c>
      <c r="AO196" s="69">
        <v>2</v>
      </c>
      <c r="AP196" s="69">
        <v>4</v>
      </c>
      <c r="AR196" s="3" t="str">
        <v>Rush Hierlooms Collection Rich Wood Bookcases</v>
      </c>
      <c r="AS196" s="1">
        <v>489.37920000000003</v>
      </c>
      <c r="AT196" s="3">
        <v>20.927399999999999</v>
      </c>
      <c r="AU196" s="16">
        <v>0.32</v>
      </c>
      <c r="AV196" s="3">
        <v>2</v>
      </c>
      <c r="AW196" s="3">
        <v>4</v>
      </c>
    </row>
    <row r="197" spans="17:49" x14ac:dyDescent="0.35">
      <c r="Q197" t="s">
        <v>445</v>
      </c>
      <c r="R197" s="67">
        <v>858.85799999999995</v>
      </c>
      <c r="U197" s="3" t="str">
        <v>Safco Value Mate Series Steel Bookcases, Baked Enamel Finish on Steel, Gray</v>
      </c>
      <c r="V197" s="1">
        <v>858.85799999999995</v>
      </c>
      <c r="W197" s="1">
        <v>0</v>
      </c>
      <c r="X197" s="1"/>
      <c r="Y197" s="1"/>
      <c r="Z197" s="1"/>
      <c r="AC197" s="3" t="str">
        <f t="shared" ref="AC197:AC260" si="15">IF(Z197=$AE$26,$AE$27,"")</f>
        <v/>
      </c>
      <c r="AE197" s="1"/>
      <c r="AG197" s="1"/>
      <c r="AK197" t="s">
        <v>442</v>
      </c>
      <c r="AL197" s="67">
        <v>245.08799999999999</v>
      </c>
      <c r="AM197" s="67">
        <v>18.115200000000002</v>
      </c>
      <c r="AN197" s="55">
        <v>1</v>
      </c>
      <c r="AO197" s="69">
        <v>5</v>
      </c>
      <c r="AP197" s="69">
        <v>12</v>
      </c>
      <c r="AR197" s="3" t="str">
        <v>SAFCO Optional Arm Kit for Workspace Cribbage Stacking Chair</v>
      </c>
      <c r="AS197" s="1">
        <v>245.08799999999999</v>
      </c>
      <c r="AT197" s="3">
        <v>18.115200000000002</v>
      </c>
      <c r="AU197" s="16">
        <v>1</v>
      </c>
      <c r="AV197" s="3">
        <v>5</v>
      </c>
      <c r="AW197" s="3">
        <v>12</v>
      </c>
    </row>
    <row r="198" spans="17:49" x14ac:dyDescent="0.35">
      <c r="Q198" t="s">
        <v>345</v>
      </c>
      <c r="R198" s="67">
        <v>851.76</v>
      </c>
      <c r="U198" s="3" t="str">
        <v>Hon Metal Bookcases, Gray</v>
      </c>
      <c r="V198" s="1">
        <v>851.76</v>
      </c>
      <c r="W198" s="1">
        <v>0</v>
      </c>
      <c r="X198" s="1"/>
      <c r="Y198" s="1"/>
      <c r="Z198" s="1"/>
      <c r="AC198" s="3" t="str">
        <f t="shared" si="15"/>
        <v/>
      </c>
      <c r="AE198" s="1"/>
      <c r="AG198" s="1"/>
      <c r="AK198" t="s">
        <v>450</v>
      </c>
      <c r="AL198" s="67">
        <v>1368.2619999999999</v>
      </c>
      <c r="AM198" s="67">
        <v>34.494</v>
      </c>
      <c r="AN198" s="55">
        <v>0.47</v>
      </c>
      <c r="AO198" s="69">
        <v>2</v>
      </c>
      <c r="AP198" s="69">
        <v>16</v>
      </c>
      <c r="AR198" s="3" t="str">
        <v>Sauder Camden County Collection Library</v>
      </c>
      <c r="AS198" s="1">
        <v>1368.2619999999999</v>
      </c>
      <c r="AT198" s="3">
        <v>34.494</v>
      </c>
      <c r="AU198" s="16">
        <v>0.47</v>
      </c>
      <c r="AV198" s="3">
        <v>2</v>
      </c>
      <c r="AW198" s="3">
        <v>16</v>
      </c>
    </row>
    <row r="199" spans="17:49" x14ac:dyDescent="0.35">
      <c r="Q199" t="s">
        <v>141</v>
      </c>
      <c r="R199" s="67">
        <v>828.09649999999999</v>
      </c>
      <c r="U199" s="3" t="str">
        <v>Balt Solid Wood Rectangular Table</v>
      </c>
      <c r="V199" s="1">
        <v>828.09649999999999</v>
      </c>
      <c r="W199" s="1">
        <v>0</v>
      </c>
      <c r="X199" s="1"/>
      <c r="Y199" s="1"/>
      <c r="Z199" s="1"/>
      <c r="AC199" s="3" t="str">
        <f t="shared" si="15"/>
        <v/>
      </c>
      <c r="AE199" s="1"/>
      <c r="AG199" s="1"/>
      <c r="AK199" t="s">
        <v>452</v>
      </c>
      <c r="AL199" s="67">
        <v>1427.683</v>
      </c>
      <c r="AM199" s="67">
        <v>63.262599999999999</v>
      </c>
      <c r="AN199" s="55">
        <v>0.6</v>
      </c>
      <c r="AO199" s="69">
        <v>4</v>
      </c>
      <c r="AP199" s="69">
        <v>10</v>
      </c>
      <c r="AR199" s="3" t="str">
        <v>Sauder Facets Collection Library, Sky Alder Finish</v>
      </c>
      <c r="AS199" s="1">
        <v>1427.683</v>
      </c>
      <c r="AT199" s="3">
        <v>63.262599999999999</v>
      </c>
      <c r="AU199" s="16">
        <v>0.6</v>
      </c>
      <c r="AV199" s="3">
        <v>4</v>
      </c>
      <c r="AW199" s="3">
        <v>10</v>
      </c>
    </row>
    <row r="200" spans="17:49" x14ac:dyDescent="0.35">
      <c r="Q200" t="s">
        <v>166</v>
      </c>
      <c r="R200" s="67">
        <v>825.17399999999998</v>
      </c>
      <c r="U200" s="3" t="str">
        <v>Bush Birmingham Collection Bookcase, Dark Cherry</v>
      </c>
      <c r="V200" s="1">
        <v>825.17399999999998</v>
      </c>
      <c r="W200" s="1">
        <v>0</v>
      </c>
      <c r="X200" s="1"/>
      <c r="Y200" s="1"/>
      <c r="Z200" s="1"/>
      <c r="AC200" s="3" t="str">
        <f t="shared" si="15"/>
        <v/>
      </c>
      <c r="AE200" s="1"/>
      <c r="AG200" s="1"/>
      <c r="AK200" t="s">
        <v>462</v>
      </c>
      <c r="AL200" s="67">
        <v>210.91200000000001</v>
      </c>
      <c r="AM200" s="67">
        <v>59.217599999999997</v>
      </c>
      <c r="AN200" s="55">
        <v>0.2</v>
      </c>
      <c r="AO200" s="69">
        <v>4</v>
      </c>
      <c r="AP200" s="69">
        <v>11</v>
      </c>
      <c r="AR200" s="3" t="str">
        <v>Seth Thomas 8 1/2" Cubicle Clock</v>
      </c>
      <c r="AS200" s="1">
        <v>210.91200000000001</v>
      </c>
      <c r="AT200" s="3">
        <v>59.217599999999997</v>
      </c>
      <c r="AU200" s="16">
        <v>0.2</v>
      </c>
      <c r="AV200" s="3">
        <v>4</v>
      </c>
      <c r="AW200" s="3">
        <v>11</v>
      </c>
    </row>
    <row r="201" spans="17:49" x14ac:dyDescent="0.35">
      <c r="Q201" t="s">
        <v>131</v>
      </c>
      <c r="R201" s="67">
        <v>822.73800000000006</v>
      </c>
      <c r="U201" s="3" t="str">
        <v>Advantus Employee of the Month Certificate Frame, 11 x 13-1/2</v>
      </c>
      <c r="V201" s="1">
        <v>822.73800000000006</v>
      </c>
      <c r="W201" s="1">
        <v>0</v>
      </c>
      <c r="X201" s="1"/>
      <c r="Y201" s="1"/>
      <c r="Z201" s="1"/>
      <c r="AC201" s="3" t="str">
        <f t="shared" si="15"/>
        <v/>
      </c>
      <c r="AE201" s="1"/>
      <c r="AG201" s="1"/>
      <c r="AK201" t="s">
        <v>469</v>
      </c>
      <c r="AL201" s="67">
        <v>1469.16</v>
      </c>
      <c r="AM201" s="67">
        <v>202.18440000000001</v>
      </c>
      <c r="AN201" s="55">
        <v>1.4</v>
      </c>
      <c r="AO201" s="69">
        <v>7</v>
      </c>
      <c r="AP201" s="69">
        <v>26</v>
      </c>
      <c r="AR201" s="3" t="str">
        <v>Tenex "The Solids" Textured Chair Mats</v>
      </c>
      <c r="AS201" s="1">
        <v>1469.16</v>
      </c>
      <c r="AT201" s="3">
        <v>202.18440000000001</v>
      </c>
      <c r="AU201" s="16">
        <v>1.4</v>
      </c>
      <c r="AV201" s="3">
        <v>7</v>
      </c>
      <c r="AW201" s="3">
        <v>26</v>
      </c>
    </row>
    <row r="202" spans="17:49" x14ac:dyDescent="0.35">
      <c r="Q202" t="s">
        <v>288</v>
      </c>
      <c r="R202" s="67">
        <v>815.86400000000003</v>
      </c>
      <c r="U202" s="3" t="str">
        <v>Global Chrome Stack Chair</v>
      </c>
      <c r="V202" s="1">
        <v>815.86400000000003</v>
      </c>
      <c r="W202" s="1">
        <v>0</v>
      </c>
      <c r="X202" s="1"/>
      <c r="Y202" s="1"/>
      <c r="Z202" s="1"/>
      <c r="AC202" s="3" t="str">
        <f t="shared" si="15"/>
        <v/>
      </c>
      <c r="AE202" s="1"/>
      <c r="AG202" s="1"/>
      <c r="AK202" t="s">
        <v>478</v>
      </c>
      <c r="AL202" s="67">
        <v>180.46</v>
      </c>
      <c r="AM202" s="67">
        <v>15.468</v>
      </c>
      <c r="AN202" s="55">
        <v>0.6</v>
      </c>
      <c r="AO202" s="69">
        <v>2</v>
      </c>
      <c r="AP202" s="69">
        <v>4</v>
      </c>
      <c r="AR202" s="3" t="str">
        <v>Tenex Traditional Chairmats for Hard Floors, Average Lip, 36" x 48"</v>
      </c>
      <c r="AS202" s="1">
        <v>180.46</v>
      </c>
      <c r="AT202" s="3">
        <v>15.468</v>
      </c>
      <c r="AU202" s="16">
        <v>0.6</v>
      </c>
      <c r="AV202" s="3">
        <v>2</v>
      </c>
      <c r="AW202" s="3">
        <v>4</v>
      </c>
    </row>
    <row r="203" spans="17:49" x14ac:dyDescent="0.35">
      <c r="Q203" t="s">
        <v>315</v>
      </c>
      <c r="R203" s="67">
        <v>803.46400000000006</v>
      </c>
      <c r="U203" s="3" t="str">
        <v>Global Stack Chair with Arms, Black</v>
      </c>
      <c r="V203" s="1">
        <v>803.46400000000006</v>
      </c>
      <c r="W203" s="1">
        <v>0</v>
      </c>
      <c r="X203" s="1"/>
      <c r="Y203" s="1"/>
      <c r="Z203" s="1"/>
      <c r="AC203" s="3" t="str">
        <f t="shared" si="15"/>
        <v/>
      </c>
      <c r="AE203" s="1"/>
      <c r="AG203" s="1"/>
      <c r="AK203" t="s">
        <v>480</v>
      </c>
      <c r="AL203" s="67">
        <v>468.46800000000002</v>
      </c>
      <c r="AM203" s="67">
        <v>56.783999999999999</v>
      </c>
      <c r="AN203" s="55">
        <v>0.2</v>
      </c>
      <c r="AO203" s="69">
        <v>3</v>
      </c>
      <c r="AP203" s="69">
        <v>7</v>
      </c>
      <c r="AR203" s="3" t="str">
        <v>Tenex V2T-RE Standard Weight Series Chair Mat, 45" x 53", Lip 25" x 12"</v>
      </c>
      <c r="AS203" s="1">
        <v>468.46800000000002</v>
      </c>
      <c r="AT203" s="3">
        <v>56.783999999999999</v>
      </c>
      <c r="AU203" s="16">
        <v>0.2</v>
      </c>
      <c r="AV203" s="3">
        <v>3</v>
      </c>
      <c r="AW203" s="3">
        <v>7</v>
      </c>
    </row>
    <row r="204" spans="17:49" x14ac:dyDescent="0.35">
      <c r="Q204" t="s">
        <v>446</v>
      </c>
      <c r="R204" s="67">
        <v>802.07399999999996</v>
      </c>
      <c r="U204" s="3" t="str">
        <v>Safco Value Mate Steel Bookcase, Baked Enamel Finish on Steel, Black</v>
      </c>
      <c r="V204" s="1">
        <v>802.07399999999996</v>
      </c>
      <c r="W204" s="1">
        <v>0</v>
      </c>
      <c r="X204" s="1"/>
      <c r="Y204" s="1"/>
      <c r="Z204" s="1"/>
      <c r="AC204" s="3" t="str">
        <f t="shared" si="15"/>
        <v/>
      </c>
      <c r="AE204" s="1"/>
      <c r="AG204" s="1"/>
      <c r="AK204" t="s">
        <v>127</v>
      </c>
      <c r="AL204" s="67">
        <v>2191.6799999999998</v>
      </c>
      <c r="AM204" s="67">
        <v>569.83680000000004</v>
      </c>
      <c r="AN204" s="55">
        <v>0</v>
      </c>
      <c r="AO204" s="69">
        <v>4</v>
      </c>
      <c r="AP204" s="69">
        <v>16</v>
      </c>
      <c r="AR204" s="3" t="str">
        <v>3M Polarizing Task Lamp with Clamp Arm, Light Gray</v>
      </c>
      <c r="AS204" s="1">
        <v>2191.6799999999998</v>
      </c>
      <c r="AT204" s="3">
        <v>569.83680000000004</v>
      </c>
      <c r="AU204" s="16">
        <v>0</v>
      </c>
      <c r="AV204" s="3">
        <v>4</v>
      </c>
      <c r="AW204" s="3">
        <v>16</v>
      </c>
    </row>
    <row r="205" spans="17:49" x14ac:dyDescent="0.35">
      <c r="Q205" t="s">
        <v>361</v>
      </c>
      <c r="R205" s="67">
        <v>786.9</v>
      </c>
      <c r="U205" s="3" t="str">
        <v>Howard Miller 12-3/4 Diameter Accuwave DS  Wall Clock</v>
      </c>
      <c r="V205" s="1">
        <v>786.9</v>
      </c>
      <c r="W205" s="1">
        <v>0</v>
      </c>
      <c r="X205" s="1"/>
      <c r="Y205" s="1"/>
      <c r="Z205" s="1"/>
      <c r="AC205" s="3" t="str">
        <f t="shared" si="15"/>
        <v/>
      </c>
      <c r="AE205" s="1"/>
      <c r="AG205" s="1"/>
      <c r="AK205" t="s">
        <v>128</v>
      </c>
      <c r="AL205" s="67">
        <v>124.586</v>
      </c>
      <c r="AM205" s="67">
        <v>32.0364</v>
      </c>
      <c r="AN205" s="55">
        <v>0.8</v>
      </c>
      <c r="AO205" s="69">
        <v>4</v>
      </c>
      <c r="AP205" s="69">
        <v>19</v>
      </c>
      <c r="AR205" s="3" t="str">
        <v>6" Cubicle Wall Clock, Black</v>
      </c>
      <c r="AS205" s="1">
        <v>124.586</v>
      </c>
      <c r="AT205" s="3">
        <v>32.0364</v>
      </c>
      <c r="AU205" s="16">
        <v>0.8</v>
      </c>
      <c r="AV205" s="3">
        <v>4</v>
      </c>
      <c r="AW205" s="3">
        <v>19</v>
      </c>
    </row>
    <row r="206" spans="17:49" x14ac:dyDescent="0.35">
      <c r="Q206" t="s">
        <v>254</v>
      </c>
      <c r="R206" s="67">
        <v>775.61199999999997</v>
      </c>
      <c r="U206" s="3" t="str">
        <v>Eldon Radial Chair Mat for Low to Medium Pile Carpets</v>
      </c>
      <c r="V206" s="1">
        <v>775.61199999999997</v>
      </c>
      <c r="W206" s="1">
        <v>0</v>
      </c>
      <c r="X206" s="1"/>
      <c r="Y206" s="1"/>
      <c r="Z206" s="1"/>
      <c r="AC206" s="3" t="str">
        <f t="shared" si="15"/>
        <v/>
      </c>
      <c r="AE206" s="1"/>
      <c r="AG206" s="1"/>
      <c r="AK206" t="s">
        <v>132</v>
      </c>
      <c r="AL206" s="67">
        <v>87.52</v>
      </c>
      <c r="AM206" s="67">
        <v>28.881599999999999</v>
      </c>
      <c r="AN206" s="55">
        <v>1</v>
      </c>
      <c r="AO206" s="69">
        <v>5</v>
      </c>
      <c r="AP206" s="69">
        <v>20</v>
      </c>
      <c r="AR206" s="3" t="str">
        <v>Advantus Panel Wall Acrylic Frame</v>
      </c>
      <c r="AS206" s="1">
        <v>87.52</v>
      </c>
      <c r="AT206" s="3">
        <v>28.881599999999999</v>
      </c>
      <c r="AU206" s="16">
        <v>1</v>
      </c>
      <c r="AV206" s="3">
        <v>5</v>
      </c>
      <c r="AW206" s="3">
        <v>20</v>
      </c>
    </row>
    <row r="207" spans="17:49" x14ac:dyDescent="0.35">
      <c r="Q207" t="s">
        <v>296</v>
      </c>
      <c r="R207" s="67">
        <v>764.7</v>
      </c>
      <c r="U207" s="3" t="str">
        <v>Global Deluxe Stacking Chair, Gray</v>
      </c>
      <c r="V207" s="1">
        <v>764.7</v>
      </c>
      <c r="W207" s="1">
        <v>0</v>
      </c>
      <c r="X207" s="1"/>
      <c r="Y207" s="1"/>
      <c r="Z207" s="1"/>
      <c r="AC207" s="3" t="str">
        <f t="shared" si="15"/>
        <v/>
      </c>
      <c r="AE207" s="1"/>
      <c r="AG207" s="1"/>
      <c r="AK207" t="s">
        <v>134</v>
      </c>
      <c r="AL207" s="67">
        <v>244.4</v>
      </c>
      <c r="AM207" s="67">
        <v>56.212000000000003</v>
      </c>
      <c r="AN207" s="55">
        <v>0.4</v>
      </c>
      <c r="AO207" s="69">
        <v>5</v>
      </c>
      <c r="AP207" s="69">
        <v>22</v>
      </c>
      <c r="AR207" s="3" t="str">
        <v>Aluminum Document Frame</v>
      </c>
      <c r="AS207" s="1">
        <v>244.4</v>
      </c>
      <c r="AT207" s="3">
        <v>56.212000000000003</v>
      </c>
      <c r="AU207" s="16">
        <v>0.4</v>
      </c>
      <c r="AV207" s="3">
        <v>5</v>
      </c>
      <c r="AW207" s="3">
        <v>22</v>
      </c>
    </row>
    <row r="208" spans="17:49" x14ac:dyDescent="0.35">
      <c r="Q208" t="s">
        <v>473</v>
      </c>
      <c r="R208" s="67">
        <v>763.66800000000001</v>
      </c>
      <c r="U208" s="3" t="str">
        <v>Tenex Carpeted, Granite-Look or Clear Contemporary Contour Shape Chair Mats</v>
      </c>
      <c r="V208" s="1">
        <v>763.66800000000001</v>
      </c>
      <c r="W208" s="1">
        <v>0</v>
      </c>
      <c r="X208" s="1"/>
      <c r="Y208" s="1"/>
      <c r="Z208" s="1"/>
      <c r="AC208" s="3" t="str">
        <f t="shared" si="15"/>
        <v/>
      </c>
      <c r="AE208" s="1"/>
      <c r="AG208" s="1"/>
      <c r="AK208" t="s">
        <v>137</v>
      </c>
      <c r="AL208" s="67">
        <v>400.02679999999998</v>
      </c>
      <c r="AM208" s="67">
        <v>0</v>
      </c>
      <c r="AN208" s="55">
        <v>1.02</v>
      </c>
      <c r="AO208" s="69">
        <v>2</v>
      </c>
      <c r="AP208" s="69">
        <v>3</v>
      </c>
      <c r="AR208" s="3" t="str">
        <v>Atlantic Metals Mobile 2-Shelf Bookcases, Custom Colors</v>
      </c>
      <c r="AS208" s="1">
        <v>400.02679999999998</v>
      </c>
      <c r="AT208" s="3">
        <v>0</v>
      </c>
      <c r="AU208" s="16">
        <v>1.02</v>
      </c>
      <c r="AV208" s="3">
        <v>2</v>
      </c>
      <c r="AW208" s="3">
        <v>3</v>
      </c>
    </row>
    <row r="209" spans="17:49" x14ac:dyDescent="0.35">
      <c r="Q209" t="s">
        <v>447</v>
      </c>
      <c r="R209" s="67">
        <v>754.73360000000002</v>
      </c>
      <c r="U209" s="3" t="str">
        <v>Sauder Barrister Bookcases</v>
      </c>
      <c r="V209" s="1">
        <v>754.73360000000002</v>
      </c>
      <c r="W209" s="1">
        <v>0</v>
      </c>
      <c r="X209" s="1"/>
      <c r="Y209" s="1"/>
      <c r="Z209" s="1"/>
      <c r="AC209" s="3" t="str">
        <f t="shared" si="15"/>
        <v/>
      </c>
      <c r="AE209" s="1"/>
      <c r="AG209" s="1"/>
      <c r="AK209" t="s">
        <v>142</v>
      </c>
      <c r="AL209" s="67">
        <v>6518.7539999999999</v>
      </c>
      <c r="AM209" s="67">
        <v>321.47280000000001</v>
      </c>
      <c r="AN209" s="55">
        <v>0.8</v>
      </c>
      <c r="AO209" s="69">
        <v>4</v>
      </c>
      <c r="AP209" s="69">
        <v>19</v>
      </c>
      <c r="AR209" s="3" t="str">
        <v>Balt Solid Wood Round Tables</v>
      </c>
      <c r="AS209" s="1">
        <v>6518.7539999999999</v>
      </c>
      <c r="AT209" s="3">
        <v>321.47280000000001</v>
      </c>
      <c r="AU209" s="16">
        <v>0.8</v>
      </c>
      <c r="AV209" s="3">
        <v>4</v>
      </c>
      <c r="AW209" s="3">
        <v>19</v>
      </c>
    </row>
    <row r="210" spans="17:49" x14ac:dyDescent="0.35">
      <c r="Q210" t="s">
        <v>170</v>
      </c>
      <c r="R210" s="67">
        <v>748.86080000000004</v>
      </c>
      <c r="U210" s="3" t="str">
        <v>Bush Mission Pointe Library</v>
      </c>
      <c r="V210" s="1">
        <v>748.86080000000004</v>
      </c>
      <c r="W210" s="1">
        <v>0</v>
      </c>
      <c r="X210" s="1"/>
      <c r="Y210" s="1"/>
      <c r="Z210" s="1"/>
      <c r="AC210" s="3" t="str">
        <f t="shared" si="15"/>
        <v/>
      </c>
      <c r="AE210" s="1"/>
      <c r="AG210" s="1"/>
      <c r="AK210" t="s">
        <v>148</v>
      </c>
      <c r="AL210" s="67">
        <v>3253.22</v>
      </c>
      <c r="AM210" s="67">
        <v>385.03300000000002</v>
      </c>
      <c r="AN210" s="55">
        <v>0.9</v>
      </c>
      <c r="AO210" s="69">
        <v>5</v>
      </c>
      <c r="AP210" s="69">
        <v>20</v>
      </c>
      <c r="AR210" s="3" t="str">
        <v>Bevis 44 x 96 Conference Tables</v>
      </c>
      <c r="AS210" s="1">
        <v>3253.22</v>
      </c>
      <c r="AT210" s="3">
        <v>385.03300000000002</v>
      </c>
      <c r="AU210" s="16">
        <v>0.9</v>
      </c>
      <c r="AV210" s="3">
        <v>5</v>
      </c>
      <c r="AW210" s="3">
        <v>20</v>
      </c>
    </row>
    <row r="211" spans="17:49" x14ac:dyDescent="0.35">
      <c r="Q211" t="s">
        <v>167</v>
      </c>
      <c r="R211" s="67">
        <v>729.23400000000004</v>
      </c>
      <c r="U211" s="3" t="str">
        <v>Bush Cubix Collection Bookcases, Fully Assembled</v>
      </c>
      <c r="V211" s="1">
        <v>729.23400000000004</v>
      </c>
      <c r="W211" s="1">
        <v>0</v>
      </c>
      <c r="X211" s="1"/>
      <c r="Y211" s="1"/>
      <c r="Z211" s="1"/>
      <c r="AC211" s="3" t="str">
        <f t="shared" si="15"/>
        <v/>
      </c>
      <c r="AE211" s="1"/>
      <c r="AG211" s="1"/>
      <c r="AK211" t="s">
        <v>153</v>
      </c>
      <c r="AL211" s="67">
        <v>519.94100000000003</v>
      </c>
      <c r="AM211" s="67">
        <v>3.5857999999999999</v>
      </c>
      <c r="AN211" s="55">
        <v>0.5</v>
      </c>
      <c r="AO211" s="69">
        <v>2</v>
      </c>
      <c r="AP211" s="69">
        <v>4</v>
      </c>
      <c r="AR211" s="3" t="str">
        <v>Bevis Round Conference Room Tables and Bases</v>
      </c>
      <c r="AS211" s="1">
        <v>519.94100000000003</v>
      </c>
      <c r="AT211" s="3">
        <v>3.5857999999999999</v>
      </c>
      <c r="AU211" s="16">
        <v>0.5</v>
      </c>
      <c r="AV211" s="3">
        <v>2</v>
      </c>
      <c r="AW211" s="3">
        <v>4</v>
      </c>
    </row>
    <row r="212" spans="17:49" x14ac:dyDescent="0.35">
      <c r="Q212" t="s">
        <v>419</v>
      </c>
      <c r="R212" s="67">
        <v>723.84199999999998</v>
      </c>
      <c r="U212" s="3" t="str">
        <v>O'Sullivan 2-Shelf Heavy-Duty Bookcases</v>
      </c>
      <c r="V212" s="1">
        <v>723.84199999999998</v>
      </c>
      <c r="W212" s="1">
        <v>0</v>
      </c>
      <c r="X212" s="1"/>
      <c r="Y212" s="1"/>
      <c r="Z212" s="1"/>
      <c r="AC212" s="3" t="str">
        <f t="shared" si="15"/>
        <v/>
      </c>
      <c r="AE212" s="1"/>
      <c r="AG212" s="1"/>
      <c r="AK212" t="s">
        <v>157</v>
      </c>
      <c r="AL212" s="67">
        <v>2033.4960000000001</v>
      </c>
      <c r="AM212" s="67">
        <v>0</v>
      </c>
      <c r="AN212" s="55">
        <v>1</v>
      </c>
      <c r="AO212" s="69">
        <v>3</v>
      </c>
      <c r="AP212" s="69">
        <v>9</v>
      </c>
      <c r="AR212" s="3" t="str">
        <v>Bevis Traditional Conference Table Top, Plinth Base</v>
      </c>
      <c r="AS212" s="1">
        <v>2033.4960000000001</v>
      </c>
      <c r="AT212" s="3">
        <v>0</v>
      </c>
      <c r="AU212" s="16">
        <v>1</v>
      </c>
      <c r="AV212" s="3">
        <v>3</v>
      </c>
      <c r="AW212" s="3">
        <v>9</v>
      </c>
    </row>
    <row r="213" spans="17:49" x14ac:dyDescent="0.35">
      <c r="Q213" t="s">
        <v>441</v>
      </c>
      <c r="R213" s="67">
        <v>705.32</v>
      </c>
      <c r="U213" s="3" t="str">
        <v>SAFCO Folding Chair Trolley</v>
      </c>
      <c r="V213" s="1">
        <v>705.32</v>
      </c>
      <c r="W213" s="1">
        <v>0</v>
      </c>
      <c r="X213" s="1"/>
      <c r="Y213" s="1"/>
      <c r="Z213" s="1"/>
      <c r="AC213" s="3" t="str">
        <f t="shared" si="15"/>
        <v/>
      </c>
      <c r="AE213" s="1"/>
      <c r="AG213" s="1"/>
      <c r="AK213" t="s">
        <v>158</v>
      </c>
      <c r="AL213" s="67">
        <v>1706.25</v>
      </c>
      <c r="AM213" s="67">
        <v>0</v>
      </c>
      <c r="AN213" s="55">
        <v>1.45</v>
      </c>
      <c r="AO213" s="69">
        <v>3</v>
      </c>
      <c r="AP213" s="69">
        <v>15</v>
      </c>
      <c r="AR213" s="3" t="str">
        <v>BoxOffice By Design Rectangular and Half-Moon Meeting Room Tables</v>
      </c>
      <c r="AS213" s="1">
        <v>1706.25</v>
      </c>
      <c r="AT213" s="3">
        <v>0</v>
      </c>
      <c r="AU213" s="16">
        <v>1.45</v>
      </c>
      <c r="AV213" s="3">
        <v>3</v>
      </c>
      <c r="AW213" s="3">
        <v>15</v>
      </c>
    </row>
    <row r="214" spans="17:49" x14ac:dyDescent="0.35">
      <c r="Q214" t="s">
        <v>214</v>
      </c>
      <c r="R214" s="67">
        <v>702.44</v>
      </c>
      <c r="U214" s="3" t="str">
        <v>Deflect-o EconoMat Nonstudded, No Bevel Mat</v>
      </c>
      <c r="V214" s="1">
        <v>702.44</v>
      </c>
      <c r="W214" s="1">
        <v>0</v>
      </c>
      <c r="X214" s="1"/>
      <c r="Y214" s="1"/>
      <c r="Z214" s="1"/>
      <c r="AC214" s="3" t="str">
        <f t="shared" si="15"/>
        <v/>
      </c>
      <c r="AE214" s="1"/>
      <c r="AG214" s="1"/>
      <c r="AK214" t="s">
        <v>159</v>
      </c>
      <c r="AL214" s="67">
        <v>2241.8674999999998</v>
      </c>
      <c r="AM214" s="67">
        <v>58.42</v>
      </c>
      <c r="AN214" s="55">
        <v>1.8499999999999999</v>
      </c>
      <c r="AO214" s="69">
        <v>5</v>
      </c>
      <c r="AP214" s="69">
        <v>26</v>
      </c>
      <c r="AR214" s="3" t="str">
        <v>BPI Conference Tables</v>
      </c>
      <c r="AS214" s="1">
        <v>2241.8674999999998</v>
      </c>
      <c r="AT214" s="3">
        <v>58.42</v>
      </c>
      <c r="AU214" s="16">
        <v>1.8499999999999999</v>
      </c>
      <c r="AV214" s="3">
        <v>5</v>
      </c>
      <c r="AW214" s="3">
        <v>26</v>
      </c>
    </row>
    <row r="215" spans="17:49" x14ac:dyDescent="0.35">
      <c r="Q215" t="s">
        <v>407</v>
      </c>
      <c r="R215" s="67">
        <v>694.19399999999996</v>
      </c>
      <c r="U215" s="3" t="str">
        <v>Office Star - Contemporary Task Swivel chair with 2-way adjustable arms, Plum</v>
      </c>
      <c r="V215" s="1">
        <v>694.19399999999996</v>
      </c>
      <c r="W215" s="1">
        <v>0</v>
      </c>
      <c r="X215" s="1"/>
      <c r="Y215" s="1"/>
      <c r="Z215" s="1"/>
      <c r="AC215" s="3" t="str">
        <f t="shared" si="15"/>
        <v/>
      </c>
      <c r="AE215" s="1"/>
      <c r="AG215" s="1"/>
      <c r="AK215" t="s">
        <v>162</v>
      </c>
      <c r="AL215" s="67">
        <v>5634.9</v>
      </c>
      <c r="AM215" s="67">
        <v>116.872</v>
      </c>
      <c r="AN215" s="55">
        <v>0.9</v>
      </c>
      <c r="AO215" s="69">
        <v>4</v>
      </c>
      <c r="AP215" s="69">
        <v>17</v>
      </c>
      <c r="AR215" s="3" t="str">
        <v>Bretford ÒJust In TimeÓ Height-Adjustable Multi-Task Work Tables</v>
      </c>
      <c r="AS215" s="1">
        <v>5634.9</v>
      </c>
      <c r="AT215" s="3">
        <v>116.872</v>
      </c>
      <c r="AU215" s="16">
        <v>0.9</v>
      </c>
      <c r="AV215" s="3">
        <v>4</v>
      </c>
      <c r="AW215" s="3">
        <v>17</v>
      </c>
    </row>
    <row r="216" spans="17:49" x14ac:dyDescent="0.35">
      <c r="Q216" t="s">
        <v>394</v>
      </c>
      <c r="R216" s="67">
        <v>685.58799999999997</v>
      </c>
      <c r="U216" s="3" t="str">
        <v>Metal Folding Chairs, Beige, 4/Carton</v>
      </c>
      <c r="V216" s="1">
        <v>685.58799999999997</v>
      </c>
      <c r="W216" s="1">
        <v>0</v>
      </c>
      <c r="X216" s="1"/>
      <c r="Y216" s="1"/>
      <c r="Z216" s="1"/>
      <c r="AC216" s="3" t="str">
        <f t="shared" si="15"/>
        <v/>
      </c>
      <c r="AE216" s="1"/>
      <c r="AG216" s="1"/>
      <c r="AK216" t="s">
        <v>166</v>
      </c>
      <c r="AL216" s="67">
        <v>825.17399999999998</v>
      </c>
      <c r="AM216" s="67">
        <v>0</v>
      </c>
      <c r="AN216" s="55">
        <v>0.3</v>
      </c>
      <c r="AO216" s="69">
        <v>1</v>
      </c>
      <c r="AP216" s="69">
        <v>9</v>
      </c>
      <c r="AR216" s="3" t="str">
        <v>Bush Birmingham Collection Bookcase, Dark Cherry</v>
      </c>
      <c r="AS216" s="1">
        <v>825.17399999999998</v>
      </c>
      <c r="AT216" s="3">
        <v>0</v>
      </c>
      <c r="AU216" s="16">
        <v>0.3</v>
      </c>
      <c r="AV216" s="3">
        <v>1</v>
      </c>
      <c r="AW216" s="3">
        <v>9</v>
      </c>
    </row>
    <row r="217" spans="17:49" x14ac:dyDescent="0.35">
      <c r="Q217" t="s">
        <v>357</v>
      </c>
      <c r="R217" s="67">
        <v>681.45399999999995</v>
      </c>
      <c r="U217" s="3" t="str">
        <v>Howard Miller 11-1/2" Diameter Brentwood Wall Clock</v>
      </c>
      <c r="V217" s="1">
        <v>681.45399999999995</v>
      </c>
      <c r="W217" s="1">
        <v>0</v>
      </c>
      <c r="X217" s="1"/>
      <c r="Y217" s="1"/>
      <c r="Z217" s="1"/>
      <c r="AC217" s="3" t="str">
        <f t="shared" si="15"/>
        <v/>
      </c>
      <c r="AE217" s="1"/>
      <c r="AG217" s="1"/>
      <c r="AK217" t="s">
        <v>168</v>
      </c>
      <c r="AL217" s="67">
        <v>3603.288</v>
      </c>
      <c r="AM217" s="67">
        <v>346.47</v>
      </c>
      <c r="AN217" s="55">
        <v>0.8</v>
      </c>
      <c r="AO217" s="69">
        <v>4</v>
      </c>
      <c r="AP217" s="69">
        <v>19</v>
      </c>
      <c r="AR217" s="3" t="str">
        <v>Bush Cubix Conference Tables, Fully Assembled</v>
      </c>
      <c r="AS217" s="1">
        <v>3603.288</v>
      </c>
      <c r="AT217" s="3">
        <v>346.47</v>
      </c>
      <c r="AU217" s="16">
        <v>0.8</v>
      </c>
      <c r="AV217" s="3">
        <v>4</v>
      </c>
      <c r="AW217" s="3">
        <v>19</v>
      </c>
    </row>
    <row r="218" spans="17:49" x14ac:dyDescent="0.35">
      <c r="Q218" t="s">
        <v>276</v>
      </c>
      <c r="R218" s="67">
        <v>678.24</v>
      </c>
      <c r="U218" s="3" t="str">
        <v>Flat Face Poster Frame</v>
      </c>
      <c r="V218" s="1">
        <v>678.24</v>
      </c>
      <c r="W218" s="1">
        <v>0</v>
      </c>
      <c r="X218" s="1"/>
      <c r="Y218" s="1"/>
      <c r="Z218" s="1"/>
      <c r="AC218" s="3" t="str">
        <f t="shared" si="15"/>
        <v/>
      </c>
      <c r="AE218" s="1"/>
      <c r="AG218" s="1"/>
      <c r="AK218" t="s">
        <v>175</v>
      </c>
      <c r="AL218" s="67">
        <v>1473.2982</v>
      </c>
      <c r="AM218" s="67">
        <v>115.1172</v>
      </c>
      <c r="AN218" s="55">
        <v>1.17</v>
      </c>
      <c r="AO218" s="69">
        <v>6</v>
      </c>
      <c r="AP218" s="69">
        <v>18</v>
      </c>
      <c r="AR218" s="3" t="str">
        <v>Bush Westfield Collection Bookcases, Fully Assembled</v>
      </c>
      <c r="AS218" s="1">
        <v>1473.2982</v>
      </c>
      <c r="AT218" s="3">
        <v>115.1172</v>
      </c>
      <c r="AU218" s="16">
        <v>1.17</v>
      </c>
      <c r="AV218" s="3">
        <v>6</v>
      </c>
      <c r="AW218" s="3">
        <v>18</v>
      </c>
    </row>
    <row r="219" spans="17:49" x14ac:dyDescent="0.35">
      <c r="Q219" t="s">
        <v>213</v>
      </c>
      <c r="R219" s="67">
        <v>673.87</v>
      </c>
      <c r="U219" s="3" t="str">
        <v>Deflect-o DuraMat Lighweight, Studded, Beveled Mat for Low Pile Carpeting</v>
      </c>
      <c r="V219" s="1">
        <v>673.87</v>
      </c>
      <c r="W219" s="1">
        <v>0</v>
      </c>
      <c r="X219" s="1"/>
      <c r="Y219" s="1"/>
      <c r="Z219" s="1"/>
      <c r="AC219" s="3" t="str">
        <f t="shared" si="15"/>
        <v/>
      </c>
      <c r="AE219" s="1"/>
      <c r="AG219" s="1"/>
      <c r="AK219" t="s">
        <v>177</v>
      </c>
      <c r="AL219" s="67">
        <v>194.68799999999999</v>
      </c>
      <c r="AM219" s="67">
        <v>68.951999999999998</v>
      </c>
      <c r="AN219" s="55">
        <v>0.2</v>
      </c>
      <c r="AO219" s="69">
        <v>3</v>
      </c>
      <c r="AP219" s="69">
        <v>10</v>
      </c>
      <c r="AR219" s="3" t="str">
        <v>Career Cubicle Clock, 8 1/4", Black</v>
      </c>
      <c r="AS219" s="1">
        <v>194.68799999999999</v>
      </c>
      <c r="AT219" s="3">
        <v>68.951999999999998</v>
      </c>
      <c r="AU219" s="16">
        <v>0.2</v>
      </c>
      <c r="AV219" s="3">
        <v>3</v>
      </c>
      <c r="AW219" s="3">
        <v>10</v>
      </c>
    </row>
    <row r="220" spans="17:49" x14ac:dyDescent="0.35">
      <c r="Q220" t="s">
        <v>336</v>
      </c>
      <c r="R220" s="67">
        <v>653.12099999999998</v>
      </c>
      <c r="U220" s="3" t="str">
        <v>Hon 61000 Series Interactive Training Tables</v>
      </c>
      <c r="V220" s="1">
        <v>653.12099999999998</v>
      </c>
      <c r="W220" s="1">
        <v>0</v>
      </c>
      <c r="X220" s="1"/>
      <c r="Y220" s="1"/>
      <c r="Z220" s="1"/>
      <c r="AC220" s="3" t="str">
        <f t="shared" si="15"/>
        <v/>
      </c>
      <c r="AE220" s="1"/>
      <c r="AG220" s="1"/>
      <c r="AK220" t="s">
        <v>178</v>
      </c>
      <c r="AL220" s="67">
        <v>5098.1760000000004</v>
      </c>
      <c r="AM220" s="67">
        <v>506.6112</v>
      </c>
      <c r="AN220" s="55">
        <v>1.9</v>
      </c>
      <c r="AO220" s="69">
        <v>6</v>
      </c>
      <c r="AP220" s="69">
        <v>22</v>
      </c>
      <c r="AR220" s="3" t="str">
        <v>Chromcraft 48" x 96" Racetrack Double Pedestal Table</v>
      </c>
      <c r="AS220" s="1">
        <v>5098.1760000000004</v>
      </c>
      <c r="AT220" s="3">
        <v>506.6112</v>
      </c>
      <c r="AU220" s="16">
        <v>1.9</v>
      </c>
      <c r="AV220" s="3">
        <v>6</v>
      </c>
      <c r="AW220" s="3">
        <v>22</v>
      </c>
    </row>
    <row r="221" spans="17:49" x14ac:dyDescent="0.35">
      <c r="Q221" t="s">
        <v>173</v>
      </c>
      <c r="R221" s="67">
        <v>649.37599999999998</v>
      </c>
      <c r="U221" s="3" t="str">
        <v>Bush Westfield Collection Bookcases, Dark Cherry Finish</v>
      </c>
      <c r="V221" s="1">
        <v>649.37599999999998</v>
      </c>
      <c r="W221" s="1">
        <v>0</v>
      </c>
      <c r="X221" s="1"/>
      <c r="Y221" s="1"/>
      <c r="Z221" s="1"/>
      <c r="AC221" s="3" t="str">
        <f t="shared" si="15"/>
        <v/>
      </c>
      <c r="AE221" s="1"/>
      <c r="AG221" s="1"/>
      <c r="AK221" t="s">
        <v>185</v>
      </c>
      <c r="AL221" s="67">
        <v>136.34399999999999</v>
      </c>
      <c r="AM221" s="67">
        <v>56.118400000000001</v>
      </c>
      <c r="AN221" s="55">
        <v>0.2</v>
      </c>
      <c r="AO221" s="69">
        <v>7</v>
      </c>
      <c r="AP221" s="69">
        <v>28</v>
      </c>
      <c r="AR221" s="3" t="str">
        <v>C-Line Magnetic Cubicle Keepers, Clear Polypropylene</v>
      </c>
      <c r="AS221" s="1">
        <v>136.34399999999999</v>
      </c>
      <c r="AT221" s="3">
        <v>56.118400000000001</v>
      </c>
      <c r="AU221" s="16">
        <v>0.2</v>
      </c>
      <c r="AV221" s="3">
        <v>7</v>
      </c>
      <c r="AW221" s="3">
        <v>28</v>
      </c>
    </row>
    <row r="222" spans="17:49" x14ac:dyDescent="0.35">
      <c r="Q222" t="s">
        <v>440</v>
      </c>
      <c r="R222" s="67">
        <v>638.82000000000005</v>
      </c>
      <c r="U222" s="3" t="str">
        <v>Safco Drafting Table</v>
      </c>
      <c r="V222" s="1">
        <v>638.82000000000005</v>
      </c>
      <c r="W222" s="1">
        <v>0</v>
      </c>
      <c r="X222" s="1"/>
      <c r="Y222" s="1"/>
      <c r="Z222" s="1"/>
      <c r="AC222" s="3" t="str">
        <f t="shared" si="15"/>
        <v/>
      </c>
      <c r="AE222" s="1"/>
      <c r="AG222" s="1"/>
      <c r="AK222" t="s">
        <v>188</v>
      </c>
      <c r="AL222" s="67">
        <v>36.161999999999999</v>
      </c>
      <c r="AM222" s="67">
        <v>9.5571000000000002</v>
      </c>
      <c r="AN222" s="55">
        <v>0.6</v>
      </c>
      <c r="AO222" s="69">
        <v>2</v>
      </c>
      <c r="AP222" s="69">
        <v>6</v>
      </c>
      <c r="AR222" s="3" t="str">
        <v>Contemporary Borderless Frame</v>
      </c>
      <c r="AS222" s="1">
        <v>36.161999999999999</v>
      </c>
      <c r="AT222" s="3">
        <v>9.5571000000000002</v>
      </c>
      <c r="AU222" s="16">
        <v>0.6</v>
      </c>
      <c r="AV222" s="3">
        <v>2</v>
      </c>
      <c r="AW222" s="3">
        <v>6</v>
      </c>
    </row>
    <row r="223" spans="17:49" x14ac:dyDescent="0.35">
      <c r="Q223" t="s">
        <v>187</v>
      </c>
      <c r="R223" s="67">
        <v>636.60799999999995</v>
      </c>
      <c r="U223" s="3" t="str">
        <v>Computer Room Manger, 14"</v>
      </c>
      <c r="V223" s="1">
        <v>636.60799999999995</v>
      </c>
      <c r="W223" s="1">
        <v>0</v>
      </c>
      <c r="X223" s="1"/>
      <c r="Y223" s="1"/>
      <c r="Z223" s="1"/>
      <c r="AC223" s="3" t="str">
        <f t="shared" si="15"/>
        <v/>
      </c>
      <c r="AE223" s="1"/>
      <c r="AG223" s="1"/>
      <c r="AK223" t="s">
        <v>190</v>
      </c>
      <c r="AL223" s="67">
        <v>334.096</v>
      </c>
      <c r="AM223" s="67">
        <v>75.171599999999998</v>
      </c>
      <c r="AN223" s="55">
        <v>1.4</v>
      </c>
      <c r="AO223" s="69">
        <v>5</v>
      </c>
      <c r="AP223" s="69">
        <v>21</v>
      </c>
      <c r="AR223" s="3" t="str">
        <v>Contract Clock, 14", Brown</v>
      </c>
      <c r="AS223" s="1">
        <v>334.096</v>
      </c>
      <c r="AT223" s="3">
        <v>75.171599999999998</v>
      </c>
      <c r="AU223" s="16">
        <v>1.4</v>
      </c>
      <c r="AV223" s="3">
        <v>5</v>
      </c>
      <c r="AW223" s="3">
        <v>21</v>
      </c>
    </row>
    <row r="224" spans="17:49" x14ac:dyDescent="0.35">
      <c r="Q224" t="s">
        <v>414</v>
      </c>
      <c r="R224" s="67">
        <v>600.46799999999996</v>
      </c>
      <c r="U224" s="3" t="str">
        <v>Office Star - Task Chair with Contemporary Loop Arms</v>
      </c>
      <c r="V224" s="1">
        <v>600.46799999999996</v>
      </c>
      <c r="W224" s="1">
        <v>0</v>
      </c>
      <c r="X224" s="1"/>
      <c r="Y224" s="1"/>
      <c r="Z224" s="1"/>
      <c r="AC224" s="3" t="str">
        <f t="shared" si="15"/>
        <v/>
      </c>
      <c r="AE224" s="1"/>
      <c r="AG224" s="1"/>
      <c r="AK224" t="s">
        <v>197</v>
      </c>
      <c r="AL224" s="67">
        <v>96.03</v>
      </c>
      <c r="AM224" s="67">
        <v>26.713799999999999</v>
      </c>
      <c r="AN224" s="55">
        <v>1.2</v>
      </c>
      <c r="AO224" s="69">
        <v>6</v>
      </c>
      <c r="AP224" s="69">
        <v>14</v>
      </c>
      <c r="AR224" s="3" t="str">
        <v>Dax Clear Box Frame</v>
      </c>
      <c r="AS224" s="1">
        <v>96.03</v>
      </c>
      <c r="AT224" s="3">
        <v>26.713799999999999</v>
      </c>
      <c r="AU224" s="16">
        <v>1.2</v>
      </c>
      <c r="AV224" s="3">
        <v>6</v>
      </c>
      <c r="AW224" s="3">
        <v>14</v>
      </c>
    </row>
    <row r="225" spans="17:49" x14ac:dyDescent="0.35">
      <c r="Q225" t="s">
        <v>191</v>
      </c>
      <c r="R225" s="67">
        <v>581.17200000000003</v>
      </c>
      <c r="U225" s="3" t="str">
        <v>Dana Fluorescent Magnifying Lamp, White, 36"</v>
      </c>
      <c r="V225" s="1">
        <v>581.17200000000003</v>
      </c>
      <c r="W225" s="1">
        <v>0</v>
      </c>
      <c r="X225" s="1"/>
      <c r="Y225" s="1"/>
      <c r="Z225" s="1"/>
      <c r="AC225" s="3" t="str">
        <f t="shared" si="15"/>
        <v/>
      </c>
      <c r="AE225" s="1"/>
      <c r="AG225" s="1"/>
      <c r="AK225" t="s">
        <v>201</v>
      </c>
      <c r="AL225" s="67">
        <v>125.786</v>
      </c>
      <c r="AM225" s="67">
        <v>32.889000000000003</v>
      </c>
      <c r="AN225" s="55">
        <v>0.6</v>
      </c>
      <c r="AO225" s="69">
        <v>5</v>
      </c>
      <c r="AP225" s="69">
        <v>26</v>
      </c>
      <c r="AR225" s="3" t="str">
        <v>DAX Cubicle Frames - 8x10</v>
      </c>
      <c r="AS225" s="1">
        <v>125.786</v>
      </c>
      <c r="AT225" s="3">
        <v>32.889000000000003</v>
      </c>
      <c r="AU225" s="16">
        <v>0.6</v>
      </c>
      <c r="AV225" s="3">
        <v>5</v>
      </c>
      <c r="AW225" s="3">
        <v>26</v>
      </c>
    </row>
    <row r="226" spans="17:49" x14ac:dyDescent="0.35">
      <c r="Q226" t="s">
        <v>367</v>
      </c>
      <c r="R226" s="67">
        <v>575.46</v>
      </c>
      <c r="U226" s="3" t="str">
        <v>Howard Miller 16" Diameter Gallery Wall Clock</v>
      </c>
      <c r="V226" s="1">
        <v>575.46</v>
      </c>
      <c r="W226" s="1">
        <v>0</v>
      </c>
      <c r="X226" s="1"/>
      <c r="Y226" s="1"/>
      <c r="Z226" s="1"/>
      <c r="AC226" s="3" t="str">
        <f t="shared" si="15"/>
        <v/>
      </c>
      <c r="AE226" s="1"/>
      <c r="AG226" s="1"/>
      <c r="AK226" t="s">
        <v>205</v>
      </c>
      <c r="AL226" s="67">
        <v>513.71199999999999</v>
      </c>
      <c r="AM226" s="67">
        <v>142.99199999999999</v>
      </c>
      <c r="AN226" s="55">
        <v>1</v>
      </c>
      <c r="AO226" s="69">
        <v>5</v>
      </c>
      <c r="AP226" s="69">
        <v>23</v>
      </c>
      <c r="AR226" s="3" t="str">
        <v>DAX Natural Wood-Tone Poster Frame</v>
      </c>
      <c r="AS226" s="1">
        <v>513.71199999999999</v>
      </c>
      <c r="AT226" s="3">
        <v>142.99199999999999</v>
      </c>
      <c r="AU226" s="16">
        <v>1</v>
      </c>
      <c r="AV226" s="3">
        <v>5</v>
      </c>
      <c r="AW226" s="3">
        <v>23</v>
      </c>
    </row>
    <row r="227" spans="17:49" x14ac:dyDescent="0.35">
      <c r="Q227" t="s">
        <v>231</v>
      </c>
      <c r="R227" s="67">
        <v>563.03</v>
      </c>
      <c r="U227" s="3" t="str">
        <v>Eldon Advantage Chair Mats for Low to Medium Pile Carpets</v>
      </c>
      <c r="V227" s="1">
        <v>563.03</v>
      </c>
      <c r="W227" s="1">
        <v>0</v>
      </c>
      <c r="X227" s="1"/>
      <c r="Y227" s="1"/>
      <c r="Z227" s="1"/>
      <c r="AC227" s="3" t="str">
        <f t="shared" si="15"/>
        <v/>
      </c>
      <c r="AE227" s="1"/>
      <c r="AG227" s="1"/>
      <c r="AK227" t="s">
        <v>208</v>
      </c>
      <c r="AL227" s="67">
        <v>234.78399999999999</v>
      </c>
      <c r="AM227" s="67">
        <v>91.687200000000004</v>
      </c>
      <c r="AN227" s="55">
        <v>0.8</v>
      </c>
      <c r="AO227" s="69">
        <v>6</v>
      </c>
      <c r="AP227" s="69">
        <v>13</v>
      </c>
      <c r="AR227" s="3" t="str">
        <v>DAX Two-Tone Silver Metal Document Frame</v>
      </c>
      <c r="AS227" s="1">
        <v>234.78399999999999</v>
      </c>
      <c r="AT227" s="3">
        <v>91.687200000000004</v>
      </c>
      <c r="AU227" s="16">
        <v>0.8</v>
      </c>
      <c r="AV227" s="3">
        <v>6</v>
      </c>
      <c r="AW227" s="3">
        <v>13</v>
      </c>
    </row>
    <row r="228" spans="17:49" x14ac:dyDescent="0.35">
      <c r="Q228" t="s">
        <v>122</v>
      </c>
      <c r="R228" s="67">
        <v>551.44799999999998</v>
      </c>
      <c r="U228" s="3" t="str">
        <v>12-1/2 Diameter Round Wall Clock</v>
      </c>
      <c r="V228" s="1">
        <v>551.44799999999998</v>
      </c>
      <c r="W228" s="1">
        <v>0</v>
      </c>
      <c r="X228" s="1"/>
      <c r="Y228" s="1"/>
      <c r="Z228" s="1"/>
      <c r="AC228" s="3" t="str">
        <f t="shared" si="15"/>
        <v/>
      </c>
      <c r="AE228" s="1"/>
      <c r="AG228" s="1"/>
      <c r="AK228" t="s">
        <v>218</v>
      </c>
      <c r="AL228" s="67">
        <v>1623.248</v>
      </c>
      <c r="AM228" s="67">
        <v>99.608400000000003</v>
      </c>
      <c r="AN228" s="55">
        <v>1.6</v>
      </c>
      <c r="AO228" s="69">
        <v>6</v>
      </c>
      <c r="AP228" s="69">
        <v>26</v>
      </c>
      <c r="AR228" s="3" t="str">
        <v>Deflect-o RollaMat Studded, Beveled Mat for Medium Pile Carpeting</v>
      </c>
      <c r="AS228" s="1">
        <v>1623.248</v>
      </c>
      <c r="AT228" s="3">
        <v>99.608400000000003</v>
      </c>
      <c r="AU228" s="16">
        <v>1.6</v>
      </c>
      <c r="AV228" s="3">
        <v>6</v>
      </c>
      <c r="AW228" s="3">
        <v>26</v>
      </c>
    </row>
    <row r="229" spans="17:49" x14ac:dyDescent="0.35">
      <c r="Q229" t="s">
        <v>237</v>
      </c>
      <c r="R229" s="67">
        <v>546.19200000000001</v>
      </c>
      <c r="U229" s="3" t="str">
        <v>Eldon Delta Triangular Chair Mat, 52" x 58", Clear</v>
      </c>
      <c r="V229" s="1">
        <v>546.19200000000001</v>
      </c>
      <c r="W229" s="1">
        <v>0</v>
      </c>
      <c r="X229" s="1"/>
      <c r="Y229" s="1"/>
      <c r="Z229" s="1"/>
      <c r="AC229" s="3" t="str">
        <f t="shared" si="15"/>
        <v/>
      </c>
      <c r="AE229" s="1"/>
      <c r="AG229" s="1"/>
      <c r="AK229" t="s">
        <v>220</v>
      </c>
      <c r="AL229" s="67">
        <v>4619.9880000000003</v>
      </c>
      <c r="AM229" s="67">
        <v>540.50840000000005</v>
      </c>
      <c r="AN229" s="55">
        <v>2.1</v>
      </c>
      <c r="AO229" s="69">
        <v>11</v>
      </c>
      <c r="AP229" s="69">
        <v>37</v>
      </c>
      <c r="AR229" s="3" t="str">
        <v>DMI Arturo Collection Mission-style Design Wood Chair</v>
      </c>
      <c r="AS229" s="1">
        <v>4619.9880000000003</v>
      </c>
      <c r="AT229" s="3">
        <v>540.50840000000005</v>
      </c>
      <c r="AU229" s="16">
        <v>2.1</v>
      </c>
      <c r="AV229" s="3">
        <v>11</v>
      </c>
      <c r="AW229" s="3">
        <v>37</v>
      </c>
    </row>
    <row r="230" spans="17:49" x14ac:dyDescent="0.35">
      <c r="Q230" t="s">
        <v>422</v>
      </c>
      <c r="R230" s="67">
        <v>540.80399999999997</v>
      </c>
      <c r="U230" s="3" t="str">
        <v>O'Sullivan 5-Shelf Heavy-Duty Bookcases</v>
      </c>
      <c r="V230" s="1">
        <v>540.80399999999997</v>
      </c>
      <c r="W230" s="1">
        <v>0</v>
      </c>
      <c r="X230" s="1"/>
      <c r="Y230" s="1"/>
      <c r="Z230" s="1"/>
      <c r="AC230" s="3" t="str">
        <f t="shared" si="15"/>
        <v/>
      </c>
      <c r="AE230" s="1"/>
      <c r="AG230" s="1"/>
      <c r="AK230" t="s">
        <v>229</v>
      </c>
      <c r="AL230" s="67">
        <v>159.25</v>
      </c>
      <c r="AM230" s="67">
        <v>53.9</v>
      </c>
      <c r="AN230" s="55">
        <v>1</v>
      </c>
      <c r="AO230" s="69">
        <v>6</v>
      </c>
      <c r="AP230" s="69">
        <v>22</v>
      </c>
      <c r="AR230" s="3" t="str">
        <v>Eldon 400 Class Desk Accessories, Black Carbon</v>
      </c>
      <c r="AS230" s="1">
        <v>159.25</v>
      </c>
      <c r="AT230" s="3">
        <v>53.9</v>
      </c>
      <c r="AU230" s="16">
        <v>1</v>
      </c>
      <c r="AV230" s="3">
        <v>6</v>
      </c>
      <c r="AW230" s="3">
        <v>22</v>
      </c>
    </row>
    <row r="231" spans="17:49" x14ac:dyDescent="0.35">
      <c r="Q231" t="s">
        <v>483</v>
      </c>
      <c r="R231" s="67">
        <v>536.04</v>
      </c>
      <c r="U231" s="3" t="str">
        <v>Tensor Computer Mounted Lamp</v>
      </c>
      <c r="V231" s="1">
        <v>536.04</v>
      </c>
      <c r="W231" s="1">
        <v>0</v>
      </c>
      <c r="X231" s="1"/>
      <c r="Y231" s="1"/>
      <c r="Z231" s="1"/>
      <c r="AC231" s="3" t="str">
        <f t="shared" si="15"/>
        <v/>
      </c>
      <c r="AE231" s="1"/>
      <c r="AG231" s="1"/>
      <c r="AK231" t="s">
        <v>235</v>
      </c>
      <c r="AL231" s="67">
        <v>1304.1279999999999</v>
      </c>
      <c r="AM231" s="67">
        <v>104.96639999999999</v>
      </c>
      <c r="AN231" s="55">
        <v>0.8</v>
      </c>
      <c r="AO231" s="69">
        <v>5</v>
      </c>
      <c r="AP231" s="69">
        <v>20</v>
      </c>
      <c r="AR231" s="3" t="str">
        <v>Eldon Cleatmat Plus Chair Mats for High Pile Carpets</v>
      </c>
      <c r="AS231" s="1">
        <v>1304.1279999999999</v>
      </c>
      <c r="AT231" s="3">
        <v>104.96639999999999</v>
      </c>
      <c r="AU231" s="16">
        <v>0.8</v>
      </c>
      <c r="AV231" s="3">
        <v>5</v>
      </c>
      <c r="AW231" s="3">
        <v>20</v>
      </c>
    </row>
    <row r="232" spans="17:49" x14ac:dyDescent="0.35">
      <c r="Q232" t="s">
        <v>368</v>
      </c>
      <c r="R232" s="67">
        <v>531.94799999999998</v>
      </c>
      <c r="U232" s="3" t="str">
        <v>Howard Miller Distant Time Traveler Alarm Clock</v>
      </c>
      <c r="V232" s="1">
        <v>531.94799999999998</v>
      </c>
      <c r="W232" s="1">
        <v>0</v>
      </c>
      <c r="X232" s="1"/>
      <c r="Y232" s="1"/>
      <c r="Z232" s="1"/>
      <c r="AC232" s="3" t="str">
        <f t="shared" si="15"/>
        <v/>
      </c>
      <c r="AE232" s="1"/>
      <c r="AG232" s="1"/>
      <c r="AK232" t="s">
        <v>237</v>
      </c>
      <c r="AL232" s="67">
        <v>546.19200000000001</v>
      </c>
      <c r="AM232" s="67">
        <v>54.619199999999999</v>
      </c>
      <c r="AN232" s="55">
        <v>1</v>
      </c>
      <c r="AO232" s="69">
        <v>6</v>
      </c>
      <c r="AP232" s="69">
        <v>17</v>
      </c>
      <c r="AR232" s="3" t="str">
        <v>Eldon Delta Triangular Chair Mat, 52" x 58", Clear</v>
      </c>
      <c r="AS232" s="1">
        <v>546.19200000000001</v>
      </c>
      <c r="AT232" s="3">
        <v>54.619199999999999</v>
      </c>
      <c r="AU232" s="16">
        <v>1</v>
      </c>
      <c r="AV232" s="3">
        <v>6</v>
      </c>
      <c r="AW232" s="3">
        <v>17</v>
      </c>
    </row>
    <row r="233" spans="17:49" x14ac:dyDescent="0.35">
      <c r="Q233" t="s">
        <v>153</v>
      </c>
      <c r="R233" s="67">
        <v>519.94100000000003</v>
      </c>
      <c r="U233" s="3" t="str">
        <v>Bevis Round Conference Room Tables and Bases</v>
      </c>
      <c r="V233" s="1">
        <v>519.94100000000003</v>
      </c>
      <c r="W233" s="1">
        <v>0</v>
      </c>
      <c r="X233" s="1"/>
      <c r="Y233" s="1"/>
      <c r="Z233" s="1"/>
      <c r="AC233" s="3" t="str">
        <f t="shared" si="15"/>
        <v/>
      </c>
      <c r="AE233" s="1"/>
      <c r="AG233" s="1"/>
      <c r="AK233" t="s">
        <v>239</v>
      </c>
      <c r="AL233" s="67">
        <v>98.135999999999996</v>
      </c>
      <c r="AM233" s="67">
        <v>0</v>
      </c>
      <c r="AN233" s="55">
        <v>1.2</v>
      </c>
      <c r="AO233" s="69">
        <v>2</v>
      </c>
      <c r="AP233" s="69">
        <v>6</v>
      </c>
      <c r="AR233" s="3" t="str">
        <v>Eldon Executive Woodline II Cherry Finish Desk Accessories</v>
      </c>
      <c r="AS233" s="1">
        <v>98.135999999999996</v>
      </c>
      <c r="AT233" s="3">
        <v>0</v>
      </c>
      <c r="AU233" s="16">
        <v>1.2</v>
      </c>
      <c r="AV233" s="3">
        <v>2</v>
      </c>
      <c r="AW233" s="3">
        <v>6</v>
      </c>
    </row>
    <row r="234" spans="17:49" x14ac:dyDescent="0.35">
      <c r="Q234" t="s">
        <v>183</v>
      </c>
      <c r="R234" s="67">
        <v>514.55600000000004</v>
      </c>
      <c r="U234" s="3" t="str">
        <v>C-Line Cubicle Keepers Polyproplyene Holder w/Velcro Back, 8-1/2x11, 25/Bx</v>
      </c>
      <c r="V234" s="1">
        <v>514.55600000000004</v>
      </c>
      <c r="W234" s="1">
        <v>0</v>
      </c>
      <c r="X234" s="1"/>
      <c r="Y234" s="1"/>
      <c r="Z234" s="1"/>
      <c r="AC234" s="3" t="str">
        <f t="shared" si="15"/>
        <v/>
      </c>
      <c r="AE234" s="1"/>
      <c r="AG234" s="1"/>
      <c r="AK234" t="s">
        <v>242</v>
      </c>
      <c r="AL234" s="67">
        <v>262.75200000000001</v>
      </c>
      <c r="AM234" s="67">
        <v>39.603200000000001</v>
      </c>
      <c r="AN234" s="55">
        <v>1.8000000000000003</v>
      </c>
      <c r="AO234" s="69">
        <v>6</v>
      </c>
      <c r="AP234" s="69">
        <v>20</v>
      </c>
      <c r="AR234" s="3" t="str">
        <v>Eldon Expressions Desk Accessory, Wood Photo Frame, Mahogany</v>
      </c>
      <c r="AS234" s="1">
        <v>262.75200000000001</v>
      </c>
      <c r="AT234" s="3">
        <v>39.603200000000001</v>
      </c>
      <c r="AU234" s="16">
        <v>1.8000000000000003</v>
      </c>
      <c r="AV234" s="3">
        <v>6</v>
      </c>
      <c r="AW234" s="3">
        <v>20</v>
      </c>
    </row>
    <row r="235" spans="17:49" x14ac:dyDescent="0.35">
      <c r="Q235" t="s">
        <v>205</v>
      </c>
      <c r="R235" s="67">
        <v>513.71199999999999</v>
      </c>
      <c r="U235" s="3" t="str">
        <v>DAX Natural Wood-Tone Poster Frame</v>
      </c>
      <c r="V235" s="1">
        <v>513.71199999999999</v>
      </c>
      <c r="W235" s="1">
        <v>0</v>
      </c>
      <c r="X235" s="1"/>
      <c r="Y235" s="1"/>
      <c r="Z235" s="1"/>
      <c r="AC235" s="3" t="str">
        <f t="shared" si="15"/>
        <v/>
      </c>
      <c r="AE235" s="1"/>
      <c r="AG235" s="1"/>
      <c r="AK235" t="s">
        <v>243</v>
      </c>
      <c r="AL235" s="67">
        <v>93.6</v>
      </c>
      <c r="AM235" s="67">
        <v>23.4</v>
      </c>
      <c r="AN235" s="55">
        <v>0</v>
      </c>
      <c r="AO235" s="69">
        <v>2</v>
      </c>
      <c r="AP235" s="69">
        <v>15</v>
      </c>
      <c r="AR235" s="3" t="str">
        <v>Eldon Expressions Mahogany Wood Desk Collection</v>
      </c>
      <c r="AS235" s="1">
        <v>93.6</v>
      </c>
      <c r="AT235" s="3">
        <v>23.4</v>
      </c>
      <c r="AU235" s="16">
        <v>0</v>
      </c>
      <c r="AV235" s="3">
        <v>2</v>
      </c>
      <c r="AW235" s="3">
        <v>15</v>
      </c>
    </row>
    <row r="236" spans="17:49" x14ac:dyDescent="0.35">
      <c r="Q236" t="s">
        <v>194</v>
      </c>
      <c r="R236" s="67">
        <v>508.72800000000001</v>
      </c>
      <c r="U236" s="3" t="str">
        <v>DataProducts Ampli Magnifier Task Lamp, Black,</v>
      </c>
      <c r="V236" s="1">
        <v>508.72800000000001</v>
      </c>
      <c r="W236" s="1">
        <v>0</v>
      </c>
      <c r="X236" s="1"/>
      <c r="Y236" s="1"/>
      <c r="Z236" s="1"/>
      <c r="AC236" s="3" t="str">
        <f t="shared" si="15"/>
        <v/>
      </c>
      <c r="AE236" s="1"/>
      <c r="AG236" s="1"/>
      <c r="AK236" t="s">
        <v>252</v>
      </c>
      <c r="AL236" s="67">
        <v>180.31</v>
      </c>
      <c r="AM236" s="67">
        <v>65.701999999999998</v>
      </c>
      <c r="AN236" s="55">
        <v>0.8</v>
      </c>
      <c r="AO236" s="69">
        <v>5</v>
      </c>
      <c r="AP236" s="69">
        <v>18</v>
      </c>
      <c r="AR236" s="3" t="str">
        <v>Eldon Image Series Desk Accessories, Ebony</v>
      </c>
      <c r="AS236" s="1">
        <v>180.31</v>
      </c>
      <c r="AT236" s="3">
        <v>65.701999999999998</v>
      </c>
      <c r="AU236" s="16">
        <v>0.8</v>
      </c>
      <c r="AV236" s="3">
        <v>5</v>
      </c>
      <c r="AW236" s="3">
        <v>18</v>
      </c>
    </row>
    <row r="237" spans="17:49" x14ac:dyDescent="0.35">
      <c r="Q237" t="s">
        <v>358</v>
      </c>
      <c r="R237" s="67">
        <v>500.30799999999999</v>
      </c>
      <c r="U237" s="3" t="str">
        <v>Howard Miller 11-1/2" Diameter Grantwood Wall Clock</v>
      </c>
      <c r="V237" s="1">
        <v>500.30799999999999</v>
      </c>
      <c r="W237" s="1">
        <v>0</v>
      </c>
      <c r="X237" s="1"/>
      <c r="Y237" s="1"/>
      <c r="Z237" s="1"/>
      <c r="AC237" s="3" t="str">
        <f t="shared" si="15"/>
        <v/>
      </c>
      <c r="AE237" s="1"/>
      <c r="AG237" s="1"/>
      <c r="AK237" t="s">
        <v>260</v>
      </c>
      <c r="AL237" s="67">
        <v>2863.8</v>
      </c>
      <c r="AM237" s="67">
        <v>775.13520000000005</v>
      </c>
      <c r="AN237" s="55">
        <v>0.6</v>
      </c>
      <c r="AO237" s="69">
        <v>5</v>
      </c>
      <c r="AP237" s="69">
        <v>33</v>
      </c>
      <c r="AR237" s="3" t="str">
        <v>Electrix Architect's Clamp-On Swing Arm Lamp, Black</v>
      </c>
      <c r="AS237" s="1">
        <v>2863.8</v>
      </c>
      <c r="AT237" s="3">
        <v>775.13520000000005</v>
      </c>
      <c r="AU237" s="16">
        <v>0.6</v>
      </c>
      <c r="AV237" s="3">
        <v>5</v>
      </c>
      <c r="AW237" s="3">
        <v>33</v>
      </c>
    </row>
    <row r="238" spans="17:49" x14ac:dyDescent="0.35">
      <c r="Q238" t="s">
        <v>437</v>
      </c>
      <c r="R238" s="67">
        <v>489.37920000000003</v>
      </c>
      <c r="U238" s="3" t="str">
        <v>Rush Hierlooms Collection Rich Wood Bookcases</v>
      </c>
      <c r="V238" s="1">
        <v>489.37920000000003</v>
      </c>
      <c r="W238" s="1">
        <v>0</v>
      </c>
      <c r="X238" s="1"/>
      <c r="Y238" s="1"/>
      <c r="Z238" s="1"/>
      <c r="AC238" s="3" t="str">
        <f t="shared" si="15"/>
        <v/>
      </c>
      <c r="AE238" s="1"/>
      <c r="AG238" s="1"/>
      <c r="AK238" t="s">
        <v>263</v>
      </c>
      <c r="AL238" s="67">
        <v>117.28</v>
      </c>
      <c r="AM238" s="67">
        <v>7.6965000000000003</v>
      </c>
      <c r="AN238" s="55">
        <v>0.8</v>
      </c>
      <c r="AO238" s="69">
        <v>2</v>
      </c>
      <c r="AP238" s="69">
        <v>5</v>
      </c>
      <c r="AR238" s="3" t="str">
        <v>Electrix Incandescent Magnifying Lamp, Black</v>
      </c>
      <c r="AS238" s="1">
        <v>117.28</v>
      </c>
      <c r="AT238" s="3">
        <v>7.6965000000000003</v>
      </c>
      <c r="AU238" s="16">
        <v>0.8</v>
      </c>
      <c r="AV238" s="3">
        <v>2</v>
      </c>
      <c r="AW238" s="3">
        <v>5</v>
      </c>
    </row>
    <row r="239" spans="17:49" x14ac:dyDescent="0.35">
      <c r="Q239" t="s">
        <v>123</v>
      </c>
      <c r="R239" s="67">
        <v>487.512</v>
      </c>
      <c r="U239" s="3" t="str">
        <v>24-Hour Round Wall Clock</v>
      </c>
      <c r="V239" s="1">
        <v>487.512</v>
      </c>
      <c r="W239" s="1">
        <v>0</v>
      </c>
      <c r="X239" s="1"/>
      <c r="Y239" s="1"/>
      <c r="Z239" s="1"/>
      <c r="AC239" s="3" t="str">
        <f t="shared" si="15"/>
        <v/>
      </c>
      <c r="AE239" s="1"/>
      <c r="AG239" s="1"/>
      <c r="AK239" t="s">
        <v>265</v>
      </c>
      <c r="AL239" s="67">
        <v>176.7</v>
      </c>
      <c r="AM239" s="67">
        <v>42.761400000000002</v>
      </c>
      <c r="AN239" s="55">
        <v>1.6</v>
      </c>
      <c r="AO239" s="69">
        <v>6</v>
      </c>
      <c r="AP239" s="69">
        <v>14</v>
      </c>
      <c r="AR239" s="3" t="str">
        <v>Executive Impressions 12" Wall Clock</v>
      </c>
      <c r="AS239" s="1">
        <v>176.7</v>
      </c>
      <c r="AT239" s="3">
        <v>42.761400000000002</v>
      </c>
      <c r="AU239" s="16">
        <v>1.6</v>
      </c>
      <c r="AV239" s="3">
        <v>6</v>
      </c>
      <c r="AW239" s="3">
        <v>14</v>
      </c>
    </row>
    <row r="240" spans="17:49" x14ac:dyDescent="0.35">
      <c r="Q240" t="s">
        <v>360</v>
      </c>
      <c r="R240" s="67">
        <v>479.33800000000002</v>
      </c>
      <c r="U240" s="3" t="str">
        <v>Howard Miller 12" Round Wall Clock</v>
      </c>
      <c r="V240" s="1">
        <v>479.33800000000002</v>
      </c>
      <c r="W240" s="1">
        <v>0</v>
      </c>
      <c r="X240" s="1"/>
      <c r="Y240" s="1"/>
      <c r="Z240" s="1"/>
      <c r="AC240" s="3" t="str">
        <f t="shared" si="15"/>
        <v/>
      </c>
      <c r="AE240" s="1"/>
      <c r="AG240" s="1"/>
      <c r="AK240" t="s">
        <v>273</v>
      </c>
      <c r="AL240" s="67">
        <v>58.783999999999999</v>
      </c>
      <c r="AM240" s="67">
        <v>11.7568</v>
      </c>
      <c r="AN240" s="55">
        <v>0.6</v>
      </c>
      <c r="AO240" s="69">
        <v>2</v>
      </c>
      <c r="AP240" s="69">
        <v>4</v>
      </c>
      <c r="AR240" s="3" t="str">
        <v>Executive Impressions 16-1/2" Circular Wall Clock</v>
      </c>
      <c r="AS240" s="1">
        <v>58.783999999999999</v>
      </c>
      <c r="AT240" s="3">
        <v>11.7568</v>
      </c>
      <c r="AU240" s="16">
        <v>0.6</v>
      </c>
      <c r="AV240" s="3">
        <v>2</v>
      </c>
      <c r="AW240" s="3">
        <v>4</v>
      </c>
    </row>
    <row r="241" spans="17:49" x14ac:dyDescent="0.35">
      <c r="Q241" t="s">
        <v>210</v>
      </c>
      <c r="R241" s="67">
        <v>477.80399999999997</v>
      </c>
      <c r="U241" s="3" t="str">
        <v>DAX Wood Document Frame</v>
      </c>
      <c r="V241" s="1">
        <v>477.80399999999997</v>
      </c>
      <c r="W241" s="1">
        <v>0</v>
      </c>
      <c r="X241" s="1"/>
      <c r="Y241" s="1"/>
      <c r="Z241" s="1"/>
      <c r="AC241" s="3" t="str">
        <f t="shared" si="15"/>
        <v/>
      </c>
      <c r="AE241" s="1"/>
      <c r="AG241" s="1"/>
      <c r="AK241" t="s">
        <v>282</v>
      </c>
      <c r="AL241" s="67">
        <v>45.396000000000001</v>
      </c>
      <c r="AM241" s="67">
        <v>16.063199999999998</v>
      </c>
      <c r="AN241" s="55">
        <v>1.6</v>
      </c>
      <c r="AO241" s="69">
        <v>7</v>
      </c>
      <c r="AP241" s="69">
        <v>20</v>
      </c>
      <c r="AR241" s="3" t="str">
        <v>GE General Purpose, Extra Long Life, Showcase &amp; Floodlight Incandescent Bulbs</v>
      </c>
      <c r="AS241" s="1">
        <v>45.396000000000001</v>
      </c>
      <c r="AT241" s="3">
        <v>16.063199999999998</v>
      </c>
      <c r="AU241" s="16">
        <v>1.6</v>
      </c>
      <c r="AV241" s="3">
        <v>7</v>
      </c>
      <c r="AW241" s="3">
        <v>20</v>
      </c>
    </row>
    <row r="242" spans="17:49" x14ac:dyDescent="0.35">
      <c r="Q242" t="s">
        <v>480</v>
      </c>
      <c r="R242" s="67">
        <v>468.46800000000002</v>
      </c>
      <c r="U242" s="3" t="str">
        <v>Tenex V2T-RE Standard Weight Series Chair Mat, 45" x 53", Lip 25" x 12"</v>
      </c>
      <c r="V242" s="1">
        <v>468.46800000000002</v>
      </c>
      <c r="W242" s="1">
        <v>0</v>
      </c>
      <c r="X242" s="1"/>
      <c r="Y242" s="1"/>
      <c r="Z242" s="1"/>
      <c r="AC242" s="3" t="str">
        <f t="shared" si="15"/>
        <v/>
      </c>
      <c r="AE242" s="1"/>
      <c r="AG242" s="1"/>
      <c r="AK242" t="s">
        <v>298</v>
      </c>
      <c r="AL242" s="67">
        <v>2032.35</v>
      </c>
      <c r="AM242" s="67">
        <v>0</v>
      </c>
      <c r="AN242" s="55">
        <v>1</v>
      </c>
      <c r="AO242" s="69">
        <v>4</v>
      </c>
      <c r="AP242" s="69">
        <v>10</v>
      </c>
      <c r="AR242" s="3" t="str">
        <v>Global Enterprise Series Seating High-Back Swivel/Tilt Chairs</v>
      </c>
      <c r="AS242" s="1">
        <v>2032.35</v>
      </c>
      <c r="AT242" s="3">
        <v>0</v>
      </c>
      <c r="AU242" s="16">
        <v>1</v>
      </c>
      <c r="AV242" s="3">
        <v>4</v>
      </c>
      <c r="AW242" s="3">
        <v>10</v>
      </c>
    </row>
    <row r="243" spans="17:49" x14ac:dyDescent="0.35">
      <c r="Q243" t="s">
        <v>476</v>
      </c>
      <c r="R243" s="67">
        <v>467.71199999999999</v>
      </c>
      <c r="U243" s="3" t="str">
        <v>Tenex Chairmats For Use with Hard Floors</v>
      </c>
      <c r="V243" s="1">
        <v>467.71199999999999</v>
      </c>
      <c r="W243" s="1">
        <v>0</v>
      </c>
      <c r="X243" s="1"/>
      <c r="Y243" s="1"/>
      <c r="Z243" s="1"/>
      <c r="AC243" s="3" t="str">
        <f t="shared" si="15"/>
        <v/>
      </c>
      <c r="AE243" s="1"/>
      <c r="AG243" s="1"/>
      <c r="AK243" t="s">
        <v>301</v>
      </c>
      <c r="AL243" s="67">
        <v>4626.5820000000003</v>
      </c>
      <c r="AM243" s="67">
        <v>785.64599999999996</v>
      </c>
      <c r="AN243" s="55">
        <v>0.7</v>
      </c>
      <c r="AO243" s="69">
        <v>6</v>
      </c>
      <c r="AP243" s="69">
        <v>18</v>
      </c>
      <c r="AR243" s="3" t="str">
        <v>Global Executive Mid-Back Manager's Chair</v>
      </c>
      <c r="AS243" s="1">
        <v>4626.5820000000003</v>
      </c>
      <c r="AT243" s="3">
        <v>785.64599999999996</v>
      </c>
      <c r="AU243" s="16">
        <v>0.7</v>
      </c>
      <c r="AV243" s="3">
        <v>6</v>
      </c>
      <c r="AW243" s="3">
        <v>18</v>
      </c>
    </row>
    <row r="244" spans="17:49" x14ac:dyDescent="0.35">
      <c r="Q244" t="s">
        <v>459</v>
      </c>
      <c r="R244" s="67">
        <v>467.072</v>
      </c>
      <c r="U244" s="3" t="str">
        <v>Seth Thomas 14" Day/Date Wall Clock</v>
      </c>
      <c r="V244" s="1">
        <v>467.072</v>
      </c>
      <c r="W244" s="1">
        <v>0</v>
      </c>
      <c r="X244" s="1"/>
      <c r="Y244" s="1"/>
      <c r="Z244" s="1"/>
      <c r="AC244" s="3" t="str">
        <f t="shared" si="15"/>
        <v/>
      </c>
      <c r="AE244" s="1"/>
      <c r="AG244" s="1"/>
      <c r="AK244" t="s">
        <v>318</v>
      </c>
      <c r="AL244" s="67">
        <v>463.09899999999999</v>
      </c>
      <c r="AM244" s="67">
        <v>0</v>
      </c>
      <c r="AN244" s="55">
        <v>1.2000000000000002</v>
      </c>
      <c r="AO244" s="69">
        <v>5</v>
      </c>
      <c r="AP244" s="69">
        <v>12</v>
      </c>
      <c r="AR244" s="3" t="str">
        <v>Global Task Chair, Black</v>
      </c>
      <c r="AS244" s="1">
        <v>463.09899999999999</v>
      </c>
      <c r="AT244" s="3">
        <v>0</v>
      </c>
      <c r="AU244" s="16">
        <v>1.2000000000000002</v>
      </c>
      <c r="AV244" s="3">
        <v>5</v>
      </c>
      <c r="AW244" s="3">
        <v>12</v>
      </c>
    </row>
    <row r="245" spans="17:49" x14ac:dyDescent="0.35">
      <c r="Q245" t="s">
        <v>261</v>
      </c>
      <c r="R245" s="67">
        <v>463.79599999999999</v>
      </c>
      <c r="U245" s="3" t="str">
        <v>Electrix Fluorescent Magnifier Lamps &amp; Weighted Base</v>
      </c>
      <c r="V245" s="1">
        <v>463.79599999999999</v>
      </c>
      <c r="W245" s="1">
        <v>0</v>
      </c>
      <c r="X245" s="1"/>
      <c r="Y245" s="1"/>
      <c r="Z245" s="1"/>
      <c r="AC245" s="3" t="str">
        <f t="shared" si="15"/>
        <v/>
      </c>
      <c r="AE245" s="1"/>
      <c r="AG245" s="1"/>
      <c r="AK245" t="s">
        <v>330</v>
      </c>
      <c r="AL245" s="67">
        <v>1231.56</v>
      </c>
      <c r="AM245" s="67">
        <v>116.4384</v>
      </c>
      <c r="AN245" s="55">
        <v>0.8</v>
      </c>
      <c r="AO245" s="69">
        <v>4</v>
      </c>
      <c r="AP245" s="69">
        <v>13</v>
      </c>
      <c r="AR245" s="3" t="str">
        <v>Hon 4060 Series Tables</v>
      </c>
      <c r="AS245" s="1">
        <v>1231.56</v>
      </c>
      <c r="AT245" s="3">
        <v>116.4384</v>
      </c>
      <c r="AU245" s="16">
        <v>0.8</v>
      </c>
      <c r="AV245" s="3">
        <v>4</v>
      </c>
      <c r="AW245" s="3">
        <v>13</v>
      </c>
    </row>
    <row r="246" spans="17:49" x14ac:dyDescent="0.35">
      <c r="Q246" t="s">
        <v>318</v>
      </c>
      <c r="R246" s="67">
        <v>463.09899999999999</v>
      </c>
      <c r="U246" s="3" t="str">
        <v>Global Task Chair, Black</v>
      </c>
      <c r="V246" s="1">
        <v>463.09899999999999</v>
      </c>
      <c r="W246" s="1">
        <v>0</v>
      </c>
      <c r="X246" s="1"/>
      <c r="Y246" s="1"/>
      <c r="Z246" s="1"/>
      <c r="AC246" s="3" t="str">
        <f t="shared" si="15"/>
        <v/>
      </c>
      <c r="AE246" s="1"/>
      <c r="AG246" s="1"/>
      <c r="AK246" t="s">
        <v>333</v>
      </c>
      <c r="AL246" s="67">
        <v>7582.3739999999998</v>
      </c>
      <c r="AM246" s="67">
        <v>929.1078</v>
      </c>
      <c r="AN246" s="55">
        <v>0.79999999999999993</v>
      </c>
      <c r="AO246" s="69">
        <v>6</v>
      </c>
      <c r="AP246" s="69">
        <v>24</v>
      </c>
      <c r="AR246" s="3" t="str">
        <v>Hon 4700 Series Mobuis Mid-Back Task Chairs with Adjustable Arms</v>
      </c>
      <c r="AS246" s="1">
        <v>7582.3739999999998</v>
      </c>
      <c r="AT246" s="3">
        <v>929.1078</v>
      </c>
      <c r="AU246" s="16">
        <v>0.79999999999999993</v>
      </c>
      <c r="AV246" s="3">
        <v>6</v>
      </c>
      <c r="AW246" s="3">
        <v>24</v>
      </c>
    </row>
    <row r="247" spans="17:49" x14ac:dyDescent="0.35">
      <c r="Q247" t="s">
        <v>195</v>
      </c>
      <c r="R247" s="67">
        <v>455.45600000000002</v>
      </c>
      <c r="U247" s="3" t="str">
        <v>DAX Black Cherry Wood-Tone Poster Frame</v>
      </c>
      <c r="V247" s="1">
        <v>455.45600000000002</v>
      </c>
      <c r="W247" s="1">
        <v>0</v>
      </c>
      <c r="X247" s="1"/>
      <c r="Y247" s="1"/>
      <c r="Z247" s="1"/>
      <c r="AC247" s="3" t="str">
        <f t="shared" si="15"/>
        <v/>
      </c>
      <c r="AE247" s="1"/>
      <c r="AG247" s="1"/>
      <c r="AK247" t="s">
        <v>334</v>
      </c>
      <c r="AL247" s="67">
        <v>1474.308</v>
      </c>
      <c r="AM247" s="67">
        <v>201.96</v>
      </c>
      <c r="AN247" s="55">
        <v>1</v>
      </c>
      <c r="AO247" s="69">
        <v>4</v>
      </c>
      <c r="AP247" s="69">
        <v>22</v>
      </c>
      <c r="AR247" s="3" t="str">
        <v>Hon 4-Shelf Metal Bookcases</v>
      </c>
      <c r="AS247" s="1">
        <v>1474.308</v>
      </c>
      <c r="AT247" s="3">
        <v>201.96</v>
      </c>
      <c r="AU247" s="16">
        <v>1</v>
      </c>
      <c r="AV247" s="3">
        <v>4</v>
      </c>
      <c r="AW247" s="3">
        <v>22</v>
      </c>
    </row>
    <row r="248" spans="17:49" x14ac:dyDescent="0.35">
      <c r="Q248" t="s">
        <v>129</v>
      </c>
      <c r="R248" s="67">
        <v>455.07</v>
      </c>
      <c r="U248" s="3" t="str">
        <v>9-3/4 Diameter Round Wall Clock</v>
      </c>
      <c r="V248" s="1">
        <v>455.07</v>
      </c>
      <c r="W248" s="1">
        <v>0</v>
      </c>
      <c r="X248" s="1"/>
      <c r="Y248" s="1"/>
      <c r="Z248" s="1"/>
      <c r="AC248" s="3" t="str">
        <f t="shared" si="15"/>
        <v/>
      </c>
      <c r="AE248" s="1"/>
      <c r="AG248" s="1"/>
      <c r="AK248" t="s">
        <v>335</v>
      </c>
      <c r="AL248" s="67">
        <v>5965.09</v>
      </c>
      <c r="AM248" s="67">
        <v>628.51679999999999</v>
      </c>
      <c r="AN248" s="55">
        <v>1.5</v>
      </c>
      <c r="AO248" s="69">
        <v>7</v>
      </c>
      <c r="AP248" s="69">
        <v>26</v>
      </c>
      <c r="AR248" s="3" t="str">
        <v>Hon 5100 Series Wood Tables</v>
      </c>
      <c r="AS248" s="1">
        <v>5965.09</v>
      </c>
      <c r="AT248" s="3">
        <v>628.51679999999999</v>
      </c>
      <c r="AU248" s="16">
        <v>1.5</v>
      </c>
      <c r="AV248" s="3">
        <v>7</v>
      </c>
      <c r="AW248" s="3">
        <v>26</v>
      </c>
    </row>
    <row r="249" spans="17:49" x14ac:dyDescent="0.35">
      <c r="Q249" t="s">
        <v>461</v>
      </c>
      <c r="R249" s="67">
        <v>441.72800000000001</v>
      </c>
      <c r="U249" s="3" t="str">
        <v>Seth Thomas 16" Steel Case Clock</v>
      </c>
      <c r="V249" s="1">
        <v>441.72800000000001</v>
      </c>
      <c r="W249" s="1">
        <v>0</v>
      </c>
      <c r="X249" s="1"/>
      <c r="Y249" s="1"/>
      <c r="Z249" s="1"/>
      <c r="AC249" s="3" t="str">
        <f t="shared" si="15"/>
        <v/>
      </c>
      <c r="AE249" s="1"/>
      <c r="AG249" s="1"/>
      <c r="AK249" t="s">
        <v>339</v>
      </c>
      <c r="AL249" s="67">
        <v>2586.1880000000001</v>
      </c>
      <c r="AM249" s="67">
        <v>19.5184</v>
      </c>
      <c r="AN249" s="55">
        <v>1.1000000000000001</v>
      </c>
      <c r="AO249" s="69">
        <v>4</v>
      </c>
      <c r="AP249" s="69">
        <v>15</v>
      </c>
      <c r="AR249" s="3" t="str">
        <v>Hon Deluxe Fabric Upholstered Stacking Chairs</v>
      </c>
      <c r="AS249" s="1">
        <v>2586.1880000000001</v>
      </c>
      <c r="AT249" s="3">
        <v>19.5184</v>
      </c>
      <c r="AU249" s="16">
        <v>1.1000000000000001</v>
      </c>
      <c r="AV249" s="3">
        <v>4</v>
      </c>
      <c r="AW249" s="3">
        <v>15</v>
      </c>
    </row>
    <row r="250" spans="17:49" x14ac:dyDescent="0.35">
      <c r="Q250" t="s">
        <v>219</v>
      </c>
      <c r="R250" s="67">
        <v>437.7</v>
      </c>
      <c r="U250" s="3" t="str">
        <v>Deflect-o SuperTray Unbreakable Stackable Tray, Letter, Black</v>
      </c>
      <c r="V250" s="1">
        <v>437.7</v>
      </c>
      <c r="W250" s="1">
        <v>0</v>
      </c>
      <c r="X250" s="1"/>
      <c r="Y250" s="1"/>
      <c r="Z250" s="1"/>
      <c r="AC250" s="3" t="str">
        <f t="shared" si="15"/>
        <v/>
      </c>
      <c r="AE250" s="1"/>
      <c r="AG250" s="1"/>
      <c r="AK250" t="s">
        <v>119</v>
      </c>
      <c r="AL250" s="67">
        <v>10637.528</v>
      </c>
      <c r="AM250" s="67">
        <v>1927.442</v>
      </c>
      <c r="AN250" s="55">
        <v>1.7000000000000004</v>
      </c>
      <c r="AO250" s="69">
        <v>12</v>
      </c>
      <c r="AP250" s="69">
        <v>51</v>
      </c>
      <c r="AR250" s="3" t="str">
        <v>Hon Deluxe Fabric Upholstered Stacking Chairs, Rounded Back</v>
      </c>
      <c r="AS250" s="1">
        <v>10637.528</v>
      </c>
      <c r="AT250" s="3">
        <v>1927.442</v>
      </c>
      <c r="AU250" s="16">
        <v>1.7000000000000004</v>
      </c>
      <c r="AV250" s="3">
        <v>12</v>
      </c>
      <c r="AW250" s="3">
        <v>51</v>
      </c>
    </row>
    <row r="251" spans="17:49" x14ac:dyDescent="0.35">
      <c r="Q251" t="s">
        <v>277</v>
      </c>
      <c r="R251" s="67">
        <v>434.56</v>
      </c>
      <c r="U251" s="3" t="str">
        <v>Floodlight Indoor Halogen Bulbs, 1 Bulb per Pack, 60 Watts</v>
      </c>
      <c r="V251" s="1">
        <v>434.56</v>
      </c>
      <c r="W251" s="1">
        <v>0</v>
      </c>
      <c r="X251" s="1"/>
      <c r="Y251" s="1"/>
      <c r="Z251" s="1"/>
      <c r="AC251" s="3" t="str">
        <f t="shared" si="15"/>
        <v/>
      </c>
      <c r="AE251" s="1"/>
      <c r="AG251" s="1"/>
      <c r="AK251" t="s">
        <v>340</v>
      </c>
      <c r="AL251" s="67">
        <v>1268.6959999999999</v>
      </c>
      <c r="AM251" s="67">
        <v>73.194000000000003</v>
      </c>
      <c r="AN251" s="55">
        <v>0.5</v>
      </c>
      <c r="AO251" s="69">
        <v>2</v>
      </c>
      <c r="AP251" s="69">
        <v>7</v>
      </c>
      <c r="AR251" s="3" t="str">
        <v>Hon Deluxe Fabric Upholstered Stacking Chairs, Squared Back</v>
      </c>
      <c r="AS251" s="1">
        <v>1268.6959999999999</v>
      </c>
      <c r="AT251" s="3">
        <v>73.194000000000003</v>
      </c>
      <c r="AU251" s="16">
        <v>0.5</v>
      </c>
      <c r="AV251" s="3">
        <v>2</v>
      </c>
      <c r="AW251" s="3">
        <v>7</v>
      </c>
    </row>
    <row r="252" spans="17:49" x14ac:dyDescent="0.35">
      <c r="Q252" t="s">
        <v>424</v>
      </c>
      <c r="R252" s="67">
        <v>424.9</v>
      </c>
      <c r="U252" s="3" t="str">
        <v>O'Sullivan Cherrywood Estates Traditional Bookcase</v>
      </c>
      <c r="V252" s="1">
        <v>424.9</v>
      </c>
      <c r="W252" s="1">
        <v>0</v>
      </c>
      <c r="X252" s="1"/>
      <c r="Y252" s="1"/>
      <c r="Z252" s="1"/>
      <c r="AC252" s="3" t="str">
        <f t="shared" si="15"/>
        <v/>
      </c>
      <c r="AE252" s="1"/>
      <c r="AG252" s="1"/>
      <c r="AK252" t="s">
        <v>341</v>
      </c>
      <c r="AL252" s="67">
        <v>967.84</v>
      </c>
      <c r="AM252" s="67">
        <v>44.762599999999999</v>
      </c>
      <c r="AN252" s="55">
        <v>0.60000000000000009</v>
      </c>
      <c r="AO252" s="69">
        <v>3</v>
      </c>
      <c r="AP252" s="69">
        <v>10</v>
      </c>
      <c r="AR252" s="3" t="str">
        <v>Hon Every-Day Chair Series Swivel Task Chairs</v>
      </c>
      <c r="AS252" s="1">
        <v>967.84</v>
      </c>
      <c r="AT252" s="3">
        <v>44.762599999999999</v>
      </c>
      <c r="AU252" s="16">
        <v>0.60000000000000009</v>
      </c>
      <c r="AV252" s="3">
        <v>3</v>
      </c>
      <c r="AW252" s="3">
        <v>10</v>
      </c>
    </row>
    <row r="253" spans="17:49" x14ac:dyDescent="0.35">
      <c r="Q253" t="s">
        <v>467</v>
      </c>
      <c r="R253" s="67">
        <v>422.28800000000001</v>
      </c>
      <c r="U253" s="3" t="str">
        <v>Staple-based wall hangings</v>
      </c>
      <c r="V253" s="1">
        <v>422.28800000000001</v>
      </c>
      <c r="W253" s="1">
        <v>0</v>
      </c>
      <c r="X253" s="1"/>
      <c r="Y253" s="1"/>
      <c r="Z253" s="1"/>
      <c r="AC253" s="3" t="str">
        <f t="shared" si="15"/>
        <v/>
      </c>
      <c r="AE253" s="1"/>
      <c r="AG253" s="1"/>
      <c r="AK253" t="s">
        <v>345</v>
      </c>
      <c r="AL253" s="67">
        <v>851.76</v>
      </c>
      <c r="AM253" s="67">
        <v>229.9752</v>
      </c>
      <c r="AN253" s="55">
        <v>0</v>
      </c>
      <c r="AO253" s="69">
        <v>2</v>
      </c>
      <c r="AP253" s="69">
        <v>12</v>
      </c>
      <c r="AR253" s="3" t="str">
        <v>Hon Metal Bookcases, Gray</v>
      </c>
      <c r="AS253" s="1">
        <v>851.76</v>
      </c>
      <c r="AT253" s="3">
        <v>229.9752</v>
      </c>
      <c r="AU253" s="16">
        <v>0</v>
      </c>
      <c r="AV253" s="3">
        <v>2</v>
      </c>
      <c r="AW253" s="3">
        <v>12</v>
      </c>
    </row>
    <row r="254" spans="17:49" x14ac:dyDescent="0.35">
      <c r="Q254" t="s">
        <v>399</v>
      </c>
      <c r="R254" s="67">
        <v>409.536</v>
      </c>
      <c r="U254" s="3" t="str">
        <v>Nu-Dell Executive Frame</v>
      </c>
      <c r="V254" s="1">
        <v>409.536</v>
      </c>
      <c r="W254" s="1">
        <v>0</v>
      </c>
      <c r="X254" s="1"/>
      <c r="Y254" s="1"/>
      <c r="Z254" s="1"/>
      <c r="AC254" s="3" t="str">
        <f t="shared" si="15"/>
        <v/>
      </c>
      <c r="AE254" s="1"/>
      <c r="AG254" s="1"/>
      <c r="AK254" t="s">
        <v>364</v>
      </c>
      <c r="AL254" s="67">
        <v>949.02599999999995</v>
      </c>
      <c r="AM254" s="67">
        <v>288.834</v>
      </c>
      <c r="AN254" s="55">
        <v>1</v>
      </c>
      <c r="AO254" s="69">
        <v>5</v>
      </c>
      <c r="AP254" s="69">
        <v>17</v>
      </c>
      <c r="AR254" s="3" t="str">
        <v>Howard Miller 13-1/2" Diameter Rosebrook Wall Clock</v>
      </c>
      <c r="AS254" s="1">
        <v>949.02599999999995</v>
      </c>
      <c r="AT254" s="3">
        <v>288.834</v>
      </c>
      <c r="AU254" s="16">
        <v>1</v>
      </c>
      <c r="AV254" s="3">
        <v>5</v>
      </c>
      <c r="AW254" s="3">
        <v>17</v>
      </c>
    </row>
    <row r="255" spans="17:49" x14ac:dyDescent="0.35">
      <c r="Q255" t="s">
        <v>137</v>
      </c>
      <c r="R255" s="67">
        <v>400.02679999999998</v>
      </c>
      <c r="U255" s="3" t="str">
        <v>Atlantic Metals Mobile 2-Shelf Bookcases, Custom Colors</v>
      </c>
      <c r="V255" s="1">
        <v>400.02679999999998</v>
      </c>
      <c r="W255" s="1">
        <v>0</v>
      </c>
      <c r="X255" s="1"/>
      <c r="Y255" s="1"/>
      <c r="Z255" s="1"/>
      <c r="AC255" s="3" t="str">
        <f t="shared" si="15"/>
        <v/>
      </c>
      <c r="AE255" s="1"/>
      <c r="AG255" s="1"/>
      <c r="AK255" t="s">
        <v>366</v>
      </c>
      <c r="AL255" s="67">
        <v>1636.864</v>
      </c>
      <c r="AM255" s="67">
        <v>429.67680000000001</v>
      </c>
      <c r="AN255" s="55">
        <v>0.8</v>
      </c>
      <c r="AO255" s="69">
        <v>7</v>
      </c>
      <c r="AP255" s="69">
        <v>29</v>
      </c>
      <c r="AR255" s="3" t="str">
        <v>Howard Miller 14-1/2" Diameter Chrome Round Wall Clock</v>
      </c>
      <c r="AS255" s="1">
        <v>1636.864</v>
      </c>
      <c r="AT255" s="3">
        <v>429.67680000000001</v>
      </c>
      <c r="AU255" s="16">
        <v>0.8</v>
      </c>
      <c r="AV255" s="3">
        <v>7</v>
      </c>
      <c r="AW255" s="3">
        <v>29</v>
      </c>
    </row>
    <row r="256" spans="17:49" x14ac:dyDescent="0.35">
      <c r="Q256" t="s">
        <v>457</v>
      </c>
      <c r="R256" s="67">
        <v>390.66</v>
      </c>
      <c r="U256" s="3" t="str">
        <v>Seth Thomas 12" Clock w/ Goldtone Case</v>
      </c>
      <c r="V256" s="1">
        <v>390.66</v>
      </c>
      <c r="W256" s="1">
        <v>0</v>
      </c>
      <c r="X256" s="1"/>
      <c r="Y256" s="1"/>
      <c r="Z256" s="1"/>
      <c r="AC256" s="3" t="str">
        <f t="shared" si="15"/>
        <v/>
      </c>
      <c r="AE256" s="1"/>
      <c r="AG256" s="1"/>
      <c r="AK256" t="s">
        <v>378</v>
      </c>
      <c r="AL256" s="67">
        <v>253.648</v>
      </c>
      <c r="AM256" s="67">
        <v>61.731200000000001</v>
      </c>
      <c r="AN256" s="55">
        <v>1</v>
      </c>
      <c r="AO256" s="69">
        <v>6</v>
      </c>
      <c r="AP256" s="69">
        <v>21</v>
      </c>
      <c r="AR256" s="3" t="str">
        <v>Linden 10" Round Wall Clock, Black</v>
      </c>
      <c r="AS256" s="1">
        <v>253.648</v>
      </c>
      <c r="AT256" s="3">
        <v>61.731200000000001</v>
      </c>
      <c r="AU256" s="16">
        <v>1</v>
      </c>
      <c r="AV256" s="3">
        <v>6</v>
      </c>
      <c r="AW256" s="3">
        <v>21</v>
      </c>
    </row>
    <row r="257" spans="17:49" x14ac:dyDescent="0.35">
      <c r="Q257" t="s">
        <v>232</v>
      </c>
      <c r="R257" s="67">
        <v>379.4</v>
      </c>
      <c r="U257" s="3" t="str">
        <v>Eldon Advantage Foldable Chair Mats for Low Pile Carpets</v>
      </c>
      <c r="V257" s="1">
        <v>379.4</v>
      </c>
      <c r="W257" s="1">
        <v>0</v>
      </c>
      <c r="X257" s="1"/>
      <c r="Y257" s="1"/>
      <c r="Z257" s="1"/>
      <c r="AC257" s="3" t="str">
        <f t="shared" si="15"/>
        <v/>
      </c>
      <c r="AE257" s="1"/>
      <c r="AG257" s="1"/>
      <c r="AK257" t="s">
        <v>393</v>
      </c>
      <c r="AL257" s="67">
        <v>83.49</v>
      </c>
      <c r="AM257" s="67">
        <v>31.574400000000001</v>
      </c>
      <c r="AN257" s="55">
        <v>0.2</v>
      </c>
      <c r="AO257" s="69">
        <v>3</v>
      </c>
      <c r="AP257" s="69">
        <v>12</v>
      </c>
      <c r="AR257" s="3" t="str">
        <v>Master Giant Foot Doorstop, Safety Yellow</v>
      </c>
      <c r="AS257" s="1">
        <v>83.49</v>
      </c>
      <c r="AT257" s="3">
        <v>31.574400000000001</v>
      </c>
      <c r="AU257" s="16">
        <v>0.2</v>
      </c>
      <c r="AV257" s="3">
        <v>3</v>
      </c>
      <c r="AW257" s="3">
        <v>12</v>
      </c>
    </row>
    <row r="258" spans="17:49" x14ac:dyDescent="0.35">
      <c r="Q258" t="s">
        <v>269</v>
      </c>
      <c r="R258" s="67">
        <v>377.91</v>
      </c>
      <c r="U258" s="3" t="str">
        <v>Executive Impressions 14"</v>
      </c>
      <c r="V258" s="1">
        <v>377.91</v>
      </c>
      <c r="W258" s="1">
        <v>0</v>
      </c>
      <c r="X258" s="1"/>
      <c r="Y258" s="1"/>
      <c r="Z258" s="1"/>
      <c r="AC258" s="3" t="str">
        <f t="shared" si="15"/>
        <v/>
      </c>
      <c r="AE258" s="1"/>
      <c r="AG258" s="1"/>
      <c r="AK258" t="s">
        <v>399</v>
      </c>
      <c r="AL258" s="67">
        <v>409.536</v>
      </c>
      <c r="AM258" s="67">
        <v>116.4144</v>
      </c>
      <c r="AN258" s="55">
        <v>1</v>
      </c>
      <c r="AO258" s="69">
        <v>6</v>
      </c>
      <c r="AP258" s="69">
        <v>39</v>
      </c>
      <c r="AR258" s="3" t="str">
        <v>Nu-Dell Executive Frame</v>
      </c>
      <c r="AS258" s="1">
        <v>409.536</v>
      </c>
      <c r="AT258" s="3">
        <v>116.4144</v>
      </c>
      <c r="AU258" s="16">
        <v>1</v>
      </c>
      <c r="AV258" s="3">
        <v>6</v>
      </c>
      <c r="AW258" s="3">
        <v>39</v>
      </c>
    </row>
    <row r="259" spans="17:49" x14ac:dyDescent="0.35">
      <c r="Q259" t="s">
        <v>124</v>
      </c>
      <c r="R259" s="67">
        <v>369.24799999999999</v>
      </c>
      <c r="U259" s="3" t="str">
        <v>36X48 HARDFLOOR CHAIRMAT</v>
      </c>
      <c r="V259" s="1">
        <v>369.24799999999999</v>
      </c>
      <c r="W259" s="1">
        <v>0</v>
      </c>
      <c r="X259" s="1"/>
      <c r="Y259" s="1"/>
      <c r="Z259" s="1"/>
      <c r="AC259" s="3" t="str">
        <f t="shared" si="15"/>
        <v/>
      </c>
      <c r="AE259" s="1"/>
      <c r="AG259" s="1"/>
      <c r="AK259" t="s">
        <v>402</v>
      </c>
      <c r="AL259" s="67">
        <v>246.648</v>
      </c>
      <c r="AM259" s="67">
        <v>81.4512</v>
      </c>
      <c r="AN259" s="55">
        <v>0.2</v>
      </c>
      <c r="AO259" s="69">
        <v>3</v>
      </c>
      <c r="AP259" s="69">
        <v>18</v>
      </c>
      <c r="AR259" s="3" t="str">
        <v>Nu-Dell Leatherette Frames</v>
      </c>
      <c r="AS259" s="1">
        <v>246.648</v>
      </c>
      <c r="AT259" s="3">
        <v>81.4512</v>
      </c>
      <c r="AU259" s="16">
        <v>0.2</v>
      </c>
      <c r="AV259" s="3">
        <v>3</v>
      </c>
      <c r="AW259" s="3">
        <v>18</v>
      </c>
    </row>
    <row r="260" spans="17:49" x14ac:dyDescent="0.35">
      <c r="Q260" t="s">
        <v>240</v>
      </c>
      <c r="R260" s="67">
        <v>361.87200000000001</v>
      </c>
      <c r="U260" s="3" t="str">
        <v>Eldon Executive Woodline II Desk Accessories, Mahogany</v>
      </c>
      <c r="V260" s="1">
        <v>361.87200000000001</v>
      </c>
      <c r="W260" s="1">
        <v>0</v>
      </c>
      <c r="X260" s="1"/>
      <c r="Y260" s="1"/>
      <c r="Z260" s="1"/>
      <c r="AC260" s="3" t="str">
        <f t="shared" si="15"/>
        <v/>
      </c>
      <c r="AE260" s="1"/>
      <c r="AG260" s="1"/>
      <c r="AK260" t="s">
        <v>404</v>
      </c>
      <c r="AL260" s="67">
        <v>5801.8159999999998</v>
      </c>
      <c r="AM260" s="67">
        <v>486.01600000000002</v>
      </c>
      <c r="AN260" s="55">
        <v>0.89999999999999991</v>
      </c>
      <c r="AO260" s="69">
        <v>5</v>
      </c>
      <c r="AP260" s="69">
        <v>23</v>
      </c>
      <c r="AR260" s="3" t="str">
        <v>Office Impressions End Table, 20-1/2"H x 24"W x 20"D</v>
      </c>
      <c r="AS260" s="1">
        <v>5801.8159999999998</v>
      </c>
      <c r="AT260" s="3">
        <v>486.01600000000002</v>
      </c>
      <c r="AU260" s="16">
        <v>0.89999999999999991</v>
      </c>
      <c r="AV260" s="3">
        <v>5</v>
      </c>
      <c r="AW260" s="3">
        <v>23</v>
      </c>
    </row>
    <row r="261" spans="17:49" x14ac:dyDescent="0.35">
      <c r="Q261" t="s">
        <v>460</v>
      </c>
      <c r="R261" s="67">
        <v>357.94799999999998</v>
      </c>
      <c r="U261" s="3" t="str">
        <v>Seth Thomas 14" Putty-Colored Wall Clock</v>
      </c>
      <c r="V261" s="1">
        <v>357.94799999999998</v>
      </c>
      <c r="W261" s="1">
        <v>0</v>
      </c>
      <c r="X261" s="1"/>
      <c r="Y261" s="1"/>
      <c r="Z261" s="1"/>
      <c r="AC261" s="3" t="str">
        <f t="shared" ref="AC261:AC324" si="16">IF(Z261=$AE$26,$AE$27,"")</f>
        <v/>
      </c>
      <c r="AE261" s="1"/>
      <c r="AG261" s="1"/>
      <c r="AK261" t="s">
        <v>415</v>
      </c>
      <c r="AL261" s="67">
        <v>1947.1769999999999</v>
      </c>
      <c r="AM261" s="67">
        <v>413.649</v>
      </c>
      <c r="AN261" s="55">
        <v>0.30000000000000004</v>
      </c>
      <c r="AO261" s="69">
        <v>6</v>
      </c>
      <c r="AP261" s="69">
        <v>20</v>
      </c>
      <c r="AR261" s="3" t="str">
        <v>Office Star Flex Back Scooter Chair with Aluminum Finish Frame</v>
      </c>
      <c r="AS261" s="1">
        <v>1947.1769999999999</v>
      </c>
      <c r="AT261" s="3">
        <v>413.649</v>
      </c>
      <c r="AU261" s="16">
        <v>0.30000000000000004</v>
      </c>
      <c r="AV261" s="3">
        <v>6</v>
      </c>
      <c r="AW261" s="3">
        <v>20</v>
      </c>
    </row>
    <row r="262" spans="17:49" x14ac:dyDescent="0.35">
      <c r="Q262" t="s">
        <v>270</v>
      </c>
      <c r="R262" s="67">
        <v>346.78800000000001</v>
      </c>
      <c r="U262" s="3" t="str">
        <v>Executive Impressions 14" Contract Wall Clock</v>
      </c>
      <c r="V262" s="1">
        <v>346.78800000000001</v>
      </c>
      <c r="W262" s="1">
        <v>0</v>
      </c>
      <c r="X262" s="1"/>
      <c r="Y262" s="1"/>
      <c r="Z262" s="1"/>
      <c r="AC262" s="3" t="str">
        <f t="shared" si="16"/>
        <v/>
      </c>
      <c r="AE262" s="1"/>
      <c r="AG262" s="1"/>
      <c r="AK262" t="s">
        <v>421</v>
      </c>
      <c r="AL262" s="67">
        <v>2740.1970000000001</v>
      </c>
      <c r="AM262" s="67">
        <v>72.587999999999994</v>
      </c>
      <c r="AN262" s="55">
        <v>2.9499999999999997</v>
      </c>
      <c r="AO262" s="69">
        <v>7</v>
      </c>
      <c r="AP262" s="69">
        <v>37</v>
      </c>
      <c r="AR262" s="3" t="str">
        <v>O'Sullivan 4-Shelf Bookcase in Odessa Pine</v>
      </c>
      <c r="AS262" s="1">
        <v>2740.1970000000001</v>
      </c>
      <c r="AT262" s="3">
        <v>72.587999999999994</v>
      </c>
      <c r="AU262" s="16">
        <v>2.9499999999999997</v>
      </c>
      <c r="AV262" s="3">
        <v>7</v>
      </c>
      <c r="AW262" s="3">
        <v>37</v>
      </c>
    </row>
    <row r="263" spans="17:49" x14ac:dyDescent="0.35">
      <c r="Q263" t="s">
        <v>234</v>
      </c>
      <c r="R263" s="67">
        <v>344.1</v>
      </c>
      <c r="U263" s="3" t="str">
        <v>Eldon Cleatmat Chair Mats for Medium Pile Carpets</v>
      </c>
      <c r="V263" s="1">
        <v>344.1</v>
      </c>
      <c r="W263" s="1">
        <v>0</v>
      </c>
      <c r="X263" s="1"/>
      <c r="Y263" s="1"/>
      <c r="Z263" s="1"/>
      <c r="AC263" s="3" t="str">
        <f t="shared" si="16"/>
        <v/>
      </c>
      <c r="AE263" s="1"/>
      <c r="AG263" s="1"/>
      <c r="AK263" t="s">
        <v>425</v>
      </c>
      <c r="AL263" s="67">
        <v>1912.308</v>
      </c>
      <c r="AM263" s="67">
        <v>10.478400000000001</v>
      </c>
      <c r="AN263" s="55">
        <v>1</v>
      </c>
      <c r="AO263" s="69">
        <v>5</v>
      </c>
      <c r="AP263" s="69">
        <v>18</v>
      </c>
      <c r="AR263" s="3" t="str">
        <v>O'Sullivan Elevations Bookcase, Cherry Finish</v>
      </c>
      <c r="AS263" s="1">
        <v>1912.308</v>
      </c>
      <c r="AT263" s="3">
        <v>10.478400000000001</v>
      </c>
      <c r="AU263" s="16">
        <v>1</v>
      </c>
      <c r="AV263" s="3">
        <v>5</v>
      </c>
      <c r="AW263" s="3">
        <v>18</v>
      </c>
    </row>
    <row r="264" spans="17:49" x14ac:dyDescent="0.35">
      <c r="Q264" t="s">
        <v>382</v>
      </c>
      <c r="R264" s="67">
        <v>338.98</v>
      </c>
      <c r="U264" s="3" t="str">
        <v>Luxo Economy Swing Arm Lamp</v>
      </c>
      <c r="V264" s="1">
        <v>338.98</v>
      </c>
      <c r="W264" s="1">
        <v>0</v>
      </c>
      <c r="X264" s="1"/>
      <c r="Y264" s="1"/>
      <c r="Z264" s="1"/>
      <c r="AC264" s="3" t="str">
        <f t="shared" si="16"/>
        <v/>
      </c>
      <c r="AE264" s="1"/>
      <c r="AG264" s="1"/>
      <c r="AK264" t="s">
        <v>434</v>
      </c>
      <c r="AL264" s="67">
        <v>917.92</v>
      </c>
      <c r="AM264" s="67">
        <v>0</v>
      </c>
      <c r="AN264" s="55">
        <v>1.1000000000000001</v>
      </c>
      <c r="AO264" s="69">
        <v>3</v>
      </c>
      <c r="AP264" s="69">
        <v>5</v>
      </c>
      <c r="AR264" s="3" t="str">
        <v>Riverside Furniture Stanwyck Manor Table Series</v>
      </c>
      <c r="AS264" s="1">
        <v>917.92</v>
      </c>
      <c r="AT264" s="3">
        <v>0</v>
      </c>
      <c r="AU264" s="16">
        <v>1.1000000000000001</v>
      </c>
      <c r="AV264" s="3">
        <v>3</v>
      </c>
      <c r="AW264" s="3">
        <v>5</v>
      </c>
    </row>
    <row r="265" spans="17:49" x14ac:dyDescent="0.35">
      <c r="Q265" t="s">
        <v>190</v>
      </c>
      <c r="R265" s="67">
        <v>334.096</v>
      </c>
      <c r="U265" s="3" t="str">
        <v>Contract Clock, 14", Brown</v>
      </c>
      <c r="V265" s="1">
        <v>334.096</v>
      </c>
      <c r="W265" s="1">
        <v>0</v>
      </c>
      <c r="X265" s="1"/>
      <c r="Y265" s="1"/>
      <c r="Z265" s="1"/>
      <c r="AC265" s="3" t="str">
        <f t="shared" si="16"/>
        <v/>
      </c>
      <c r="AE265" s="1"/>
      <c r="AG265" s="1"/>
      <c r="AK265" t="s">
        <v>440</v>
      </c>
      <c r="AL265" s="67">
        <v>638.82000000000005</v>
      </c>
      <c r="AM265" s="67">
        <v>39.748800000000003</v>
      </c>
      <c r="AN265" s="55">
        <v>0.8</v>
      </c>
      <c r="AO265" s="69">
        <v>4</v>
      </c>
      <c r="AP265" s="69">
        <v>12</v>
      </c>
      <c r="AR265" s="3" t="str">
        <v>Safco Drafting Table</v>
      </c>
      <c r="AS265" s="1">
        <v>638.82000000000005</v>
      </c>
      <c r="AT265" s="3">
        <v>39.748800000000003</v>
      </c>
      <c r="AU265" s="16">
        <v>0.8</v>
      </c>
      <c r="AV265" s="3">
        <v>4</v>
      </c>
      <c r="AW265" s="3">
        <v>12</v>
      </c>
    </row>
    <row r="266" spans="17:49" x14ac:dyDescent="0.35">
      <c r="Q266" t="s">
        <v>238</v>
      </c>
      <c r="R266" s="67">
        <v>331.76</v>
      </c>
      <c r="U266" s="3" t="str">
        <v>Eldon Econocleat Chair Mats for Low Pile Carpets</v>
      </c>
      <c r="V266" s="1">
        <v>331.76</v>
      </c>
      <c r="W266" s="1">
        <v>0</v>
      </c>
      <c r="X266" s="1"/>
      <c r="Y266" s="1"/>
      <c r="Z266" s="1"/>
      <c r="AC266" s="3" t="str">
        <f t="shared" si="16"/>
        <v/>
      </c>
      <c r="AE266" s="1"/>
      <c r="AG266" s="1"/>
      <c r="AK266" t="s">
        <v>441</v>
      </c>
      <c r="AL266" s="67">
        <v>705.32</v>
      </c>
      <c r="AM266" s="67">
        <v>153.88800000000001</v>
      </c>
      <c r="AN266" s="55">
        <v>0.5</v>
      </c>
      <c r="AO266" s="69">
        <v>3</v>
      </c>
      <c r="AP266" s="69">
        <v>6</v>
      </c>
      <c r="AR266" s="3" t="str">
        <v>SAFCO Folding Chair Trolley</v>
      </c>
      <c r="AS266" s="1">
        <v>705.32</v>
      </c>
      <c r="AT266" s="3">
        <v>153.88800000000001</v>
      </c>
      <c r="AU266" s="16">
        <v>0.5</v>
      </c>
      <c r="AV266" s="3">
        <v>3</v>
      </c>
      <c r="AW266" s="3">
        <v>6</v>
      </c>
    </row>
    <row r="267" spans="17:49" x14ac:dyDescent="0.35">
      <c r="Q267" t="s">
        <v>451</v>
      </c>
      <c r="R267" s="67">
        <v>322.19200000000001</v>
      </c>
      <c r="U267" s="3" t="str">
        <v>Sauder Cornerstone Collection Library</v>
      </c>
      <c r="V267" s="1">
        <v>322.19200000000001</v>
      </c>
      <c r="W267" s="1">
        <v>0</v>
      </c>
      <c r="X267" s="1"/>
      <c r="Y267" s="1"/>
      <c r="Z267" s="1"/>
      <c r="AC267" s="3" t="str">
        <f t="shared" si="16"/>
        <v/>
      </c>
      <c r="AE267" s="1"/>
      <c r="AG267" s="1"/>
      <c r="AK267" t="s">
        <v>446</v>
      </c>
      <c r="AL267" s="67">
        <v>802.07399999999996</v>
      </c>
      <c r="AM267" s="67">
        <v>106.47</v>
      </c>
      <c r="AN267" s="55">
        <v>0.6</v>
      </c>
      <c r="AO267" s="69">
        <v>3</v>
      </c>
      <c r="AP267" s="69">
        <v>14</v>
      </c>
      <c r="AR267" s="3" t="str">
        <v>Safco Value Mate Steel Bookcase, Baked Enamel Finish on Steel, Black</v>
      </c>
      <c r="AS267" s="1">
        <v>802.07399999999996</v>
      </c>
      <c r="AT267" s="3">
        <v>106.47</v>
      </c>
      <c r="AU267" s="16">
        <v>0.6</v>
      </c>
      <c r="AV267" s="3">
        <v>3</v>
      </c>
      <c r="AW267" s="3">
        <v>14</v>
      </c>
    </row>
    <row r="268" spans="17:49" x14ac:dyDescent="0.35">
      <c r="Q268" t="s">
        <v>458</v>
      </c>
      <c r="R268" s="67">
        <v>316.48399999999998</v>
      </c>
      <c r="U268" s="3" t="str">
        <v>Seth Thomas 13 1/2" Wall Clock</v>
      </c>
      <c r="V268" s="1">
        <v>316.48399999999998</v>
      </c>
      <c r="W268" s="1">
        <v>0</v>
      </c>
      <c r="X268" s="1"/>
      <c r="Y268" s="1"/>
      <c r="Z268" s="1"/>
      <c r="AC268" s="3" t="str">
        <f t="shared" si="16"/>
        <v/>
      </c>
      <c r="AE268" s="1"/>
      <c r="AG268" s="1"/>
      <c r="AK268" t="s">
        <v>456</v>
      </c>
      <c r="AL268" s="67">
        <v>935.19719999999995</v>
      </c>
      <c r="AM268" s="67">
        <v>10.478400000000001</v>
      </c>
      <c r="AN268" s="55">
        <v>0.79</v>
      </c>
      <c r="AO268" s="69">
        <v>3</v>
      </c>
      <c r="AP268" s="69">
        <v>10</v>
      </c>
      <c r="AR268" s="3" t="str">
        <v>Sauder Mission Library with Doors, Fruitwood Finish</v>
      </c>
      <c r="AS268" s="1">
        <v>935.19719999999995</v>
      </c>
      <c r="AT268" s="3">
        <v>10.478400000000001</v>
      </c>
      <c r="AU268" s="16">
        <v>0.79</v>
      </c>
      <c r="AV268" s="3">
        <v>3</v>
      </c>
      <c r="AW268" s="3">
        <v>10</v>
      </c>
    </row>
    <row r="269" spans="17:49" x14ac:dyDescent="0.35">
      <c r="Q269" t="s">
        <v>267</v>
      </c>
      <c r="R269" s="67">
        <v>315.37200000000001</v>
      </c>
      <c r="U269" s="3" t="str">
        <v>Executive Impressions 13" Clairmont Wall Clock</v>
      </c>
      <c r="V269" s="1">
        <v>315.37200000000001</v>
      </c>
      <c r="W269" s="1">
        <v>0</v>
      </c>
      <c r="X269" s="1"/>
      <c r="Y269" s="1"/>
      <c r="Z269" s="1"/>
      <c r="AC269" s="3" t="str">
        <f t="shared" si="16"/>
        <v/>
      </c>
      <c r="AE269" s="1"/>
      <c r="AG269" s="1"/>
      <c r="AK269" t="s">
        <v>465</v>
      </c>
      <c r="AL269" s="67">
        <v>46.591999999999999</v>
      </c>
      <c r="AM269" s="67">
        <v>6.2271999999999998</v>
      </c>
      <c r="AN269" s="55">
        <v>1</v>
      </c>
      <c r="AO269" s="69">
        <v>4</v>
      </c>
      <c r="AP269" s="69">
        <v>16</v>
      </c>
      <c r="AR269" s="3" t="str">
        <v>Stacking Tray, Side-Loading, Legal, Smoke</v>
      </c>
      <c r="AS269" s="1">
        <v>46.591999999999999</v>
      </c>
      <c r="AT269" s="3">
        <v>6.2271999999999998</v>
      </c>
      <c r="AU269" s="16">
        <v>1</v>
      </c>
      <c r="AV269" s="3">
        <v>4</v>
      </c>
      <c r="AW269" s="3">
        <v>16</v>
      </c>
    </row>
    <row r="270" spans="17:49" x14ac:dyDescent="0.35">
      <c r="Q270" t="s">
        <v>272</v>
      </c>
      <c r="R270" s="67">
        <v>308.99200000000002</v>
      </c>
      <c r="U270" s="3" t="str">
        <v>Executive Impressions 14" Two-Color Numerals Wall Clock</v>
      </c>
      <c r="V270" s="1">
        <v>308.99200000000002</v>
      </c>
      <c r="W270" s="1">
        <v>0</v>
      </c>
      <c r="X270" s="1"/>
      <c r="Y270" s="1"/>
      <c r="Z270" s="1"/>
      <c r="AC270" s="3" t="str">
        <f t="shared" si="16"/>
        <v/>
      </c>
      <c r="AE270" s="1"/>
      <c r="AG270" s="1"/>
      <c r="AK270" t="s">
        <v>466</v>
      </c>
      <c r="AL270" s="67">
        <v>72.707999999999998</v>
      </c>
      <c r="AM270" s="67">
        <v>18.724799999999998</v>
      </c>
      <c r="AN270" s="55">
        <v>1.4</v>
      </c>
      <c r="AO270" s="69">
        <v>6</v>
      </c>
      <c r="AP270" s="69">
        <v>19</v>
      </c>
      <c r="AR270" s="3" t="str">
        <v>Stacking Trays by OIC</v>
      </c>
      <c r="AS270" s="1">
        <v>72.707999999999998</v>
      </c>
      <c r="AT270" s="3">
        <v>18.724799999999998</v>
      </c>
      <c r="AU270" s="16">
        <v>1.4</v>
      </c>
      <c r="AV270" s="3">
        <v>6</v>
      </c>
      <c r="AW270" s="3">
        <v>19</v>
      </c>
    </row>
    <row r="271" spans="17:49" x14ac:dyDescent="0.35">
      <c r="Q271" t="s">
        <v>484</v>
      </c>
      <c r="R271" s="67">
        <v>299.85000000000002</v>
      </c>
      <c r="U271" s="3" t="str">
        <v>Tensor Track Tree Floor Lamp</v>
      </c>
      <c r="V271" s="1">
        <v>299.85000000000002</v>
      </c>
      <c r="W271" s="1">
        <v>0</v>
      </c>
      <c r="X271" s="1"/>
      <c r="Y271" s="1"/>
      <c r="Z271" s="1"/>
      <c r="AC271" s="3" t="str">
        <f t="shared" si="16"/>
        <v/>
      </c>
      <c r="AE271" s="1"/>
      <c r="AG271" s="1"/>
      <c r="AK271" t="s">
        <v>468</v>
      </c>
      <c r="AL271" s="67">
        <v>143.928</v>
      </c>
      <c r="AM271" s="67">
        <v>14.9925</v>
      </c>
      <c r="AN271" s="55">
        <v>1.8000000000000003</v>
      </c>
      <c r="AO271" s="69">
        <v>6</v>
      </c>
      <c r="AP271" s="69">
        <v>10</v>
      </c>
      <c r="AR271" s="3" t="str">
        <v>Telescoping Adjustable Floor Lamp</v>
      </c>
      <c r="AS271" s="1">
        <v>143.928</v>
      </c>
      <c r="AT271" s="3">
        <v>14.9925</v>
      </c>
      <c r="AU271" s="16">
        <v>1.8000000000000003</v>
      </c>
      <c r="AV271" s="3">
        <v>6</v>
      </c>
      <c r="AW271" s="3">
        <v>10</v>
      </c>
    </row>
    <row r="272" spans="17:49" x14ac:dyDescent="0.35">
      <c r="Q272" t="s">
        <v>186</v>
      </c>
      <c r="R272" s="67">
        <v>298.2</v>
      </c>
      <c r="U272" s="3" t="str">
        <v>Coloredge Poster Frame</v>
      </c>
      <c r="V272" s="1">
        <v>298.2</v>
      </c>
      <c r="W272" s="1">
        <v>0</v>
      </c>
      <c r="X272" s="1"/>
      <c r="Y272" s="1"/>
      <c r="Z272" s="1"/>
      <c r="AC272" s="3" t="str">
        <f t="shared" si="16"/>
        <v/>
      </c>
      <c r="AE272" s="1"/>
      <c r="AG272" s="1"/>
      <c r="AK272" t="s">
        <v>474</v>
      </c>
      <c r="AL272" s="67">
        <v>2058.4960000000001</v>
      </c>
      <c r="AM272" s="67">
        <v>151.36000000000001</v>
      </c>
      <c r="AN272" s="55">
        <v>1.2</v>
      </c>
      <c r="AO272" s="69">
        <v>4</v>
      </c>
      <c r="AP272" s="69">
        <v>19</v>
      </c>
      <c r="AR272" s="3" t="str">
        <v>Tenex Chairmat w/ Average Lip, 45" x 53"</v>
      </c>
      <c r="AS272" s="1">
        <v>2058.4960000000001</v>
      </c>
      <c r="AT272" s="3">
        <v>151.36000000000001</v>
      </c>
      <c r="AU272" s="16">
        <v>1.2</v>
      </c>
      <c r="AV272" s="3">
        <v>4</v>
      </c>
      <c r="AW272" s="3">
        <v>19</v>
      </c>
    </row>
    <row r="273" spans="17:49" x14ac:dyDescent="0.35">
      <c r="Q273" t="s">
        <v>199</v>
      </c>
      <c r="R273" s="67">
        <v>291.45600000000002</v>
      </c>
      <c r="U273" s="3" t="str">
        <v>DAX Contemporary Wood Frame with Silver Metal Mat, Desktop, 11 x 14 Size</v>
      </c>
      <c r="V273" s="1">
        <v>291.45600000000002</v>
      </c>
      <c r="W273" s="1">
        <v>0</v>
      </c>
      <c r="X273" s="1"/>
      <c r="Y273" s="1"/>
      <c r="Z273" s="1"/>
      <c r="AC273" s="3" t="str">
        <f t="shared" si="16"/>
        <v/>
      </c>
      <c r="AE273" s="1"/>
      <c r="AG273" s="1"/>
      <c r="AK273" t="s">
        <v>484</v>
      </c>
      <c r="AL273" s="67">
        <v>299.85000000000002</v>
      </c>
      <c r="AM273" s="67">
        <v>38.180900000000001</v>
      </c>
      <c r="AN273" s="55">
        <v>0.4</v>
      </c>
      <c r="AO273" s="69">
        <v>4</v>
      </c>
      <c r="AP273" s="69">
        <v>17</v>
      </c>
      <c r="AR273" s="3" t="str">
        <v>Tensor Track Tree Floor Lamp</v>
      </c>
      <c r="AS273" s="1">
        <v>299.85000000000002</v>
      </c>
      <c r="AT273" s="3">
        <v>38.180900000000001</v>
      </c>
      <c r="AU273" s="16">
        <v>0.4</v>
      </c>
      <c r="AV273" s="3">
        <v>4</v>
      </c>
      <c r="AW273" s="3">
        <v>17</v>
      </c>
    </row>
    <row r="274" spans="17:49" x14ac:dyDescent="0.35">
      <c r="Q274" t="s">
        <v>489</v>
      </c>
      <c r="R274" s="67">
        <v>279.55799999999999</v>
      </c>
      <c r="U274" s="3" t="str">
        <v>Westinghouse Clip-On Gooseneck Lamps</v>
      </c>
      <c r="V274" s="1">
        <v>279.55799999999999</v>
      </c>
      <c r="W274" s="1">
        <v>0</v>
      </c>
      <c r="X274" s="1"/>
      <c r="Y274" s="1"/>
      <c r="Z274" s="1"/>
      <c r="AC274" s="3" t="str">
        <f t="shared" si="16"/>
        <v/>
      </c>
      <c r="AE274" s="1"/>
      <c r="AG274" s="1"/>
      <c r="AK274" t="s">
        <v>123</v>
      </c>
      <c r="AL274" s="67">
        <v>487.512</v>
      </c>
      <c r="AM274" s="67">
        <v>180.0198</v>
      </c>
      <c r="AN274" s="55">
        <v>0.4</v>
      </c>
      <c r="AO274" s="69">
        <v>6</v>
      </c>
      <c r="AP274" s="69">
        <v>27</v>
      </c>
      <c r="AR274" s="3" t="str">
        <v>24-Hour Round Wall Clock</v>
      </c>
      <c r="AS274" s="1">
        <v>487.512</v>
      </c>
      <c r="AT274" s="3">
        <v>180.0198</v>
      </c>
      <c r="AU274" s="16">
        <v>0.4</v>
      </c>
      <c r="AV274" s="3">
        <v>6</v>
      </c>
      <c r="AW274" s="3">
        <v>27</v>
      </c>
    </row>
    <row r="275" spans="17:49" x14ac:dyDescent="0.35">
      <c r="Q275" t="s">
        <v>133</v>
      </c>
      <c r="R275" s="67">
        <v>270.83999999999997</v>
      </c>
      <c r="U275" s="3" t="str">
        <v>Advantus Panel Wall Certificate Holder - 8.5x11</v>
      </c>
      <c r="V275" s="1">
        <v>270.83999999999997</v>
      </c>
      <c r="W275" s="1">
        <v>0</v>
      </c>
      <c r="X275" s="1"/>
      <c r="Y275" s="1"/>
      <c r="Z275" s="1"/>
      <c r="AC275" s="3" t="str">
        <f t="shared" si="16"/>
        <v/>
      </c>
      <c r="AE275" s="1"/>
      <c r="AG275" s="1"/>
      <c r="AK275" t="s">
        <v>129</v>
      </c>
      <c r="AL275" s="67">
        <v>455.07</v>
      </c>
      <c r="AM275" s="67">
        <v>183.13120000000001</v>
      </c>
      <c r="AN275" s="55">
        <v>0.4</v>
      </c>
      <c r="AO275" s="69">
        <v>8</v>
      </c>
      <c r="AP275" s="69">
        <v>34</v>
      </c>
      <c r="AR275" s="3" t="str">
        <v>9-3/4 Diameter Round Wall Clock</v>
      </c>
      <c r="AS275" s="1">
        <v>455.07</v>
      </c>
      <c r="AT275" s="3">
        <v>183.13120000000001</v>
      </c>
      <c r="AU275" s="16">
        <v>0.4</v>
      </c>
      <c r="AV275" s="3">
        <v>8</v>
      </c>
      <c r="AW275" s="3">
        <v>34</v>
      </c>
    </row>
    <row r="276" spans="17:49" x14ac:dyDescent="0.35">
      <c r="Q276" t="s">
        <v>258</v>
      </c>
      <c r="R276" s="67">
        <v>266.73</v>
      </c>
      <c r="U276" s="3" t="str">
        <v>Eldon Wave Desk Accessories</v>
      </c>
      <c r="V276" s="1">
        <v>266.73</v>
      </c>
      <c r="W276" s="1">
        <v>0</v>
      </c>
      <c r="X276" s="1"/>
      <c r="Y276" s="1"/>
      <c r="Z276" s="1"/>
      <c r="AC276" s="3" t="str">
        <f t="shared" si="16"/>
        <v/>
      </c>
      <c r="AE276" s="1"/>
      <c r="AG276" s="1"/>
      <c r="AK276" t="s">
        <v>130</v>
      </c>
      <c r="AL276" s="67">
        <v>93.983999999999995</v>
      </c>
      <c r="AM276" s="67">
        <v>32.734200000000001</v>
      </c>
      <c r="AN276" s="55">
        <v>0.60000000000000009</v>
      </c>
      <c r="AO276" s="69">
        <v>8</v>
      </c>
      <c r="AP276" s="69">
        <v>37</v>
      </c>
      <c r="AR276" s="3" t="str">
        <v>Acrylic Self-Standing Desk Frames</v>
      </c>
      <c r="AS276" s="1">
        <v>93.983999999999995</v>
      </c>
      <c r="AT276" s="3">
        <v>32.734200000000001</v>
      </c>
      <c r="AU276" s="16">
        <v>0.60000000000000009</v>
      </c>
      <c r="AV276" s="3">
        <v>8</v>
      </c>
      <c r="AW276" s="3">
        <v>37</v>
      </c>
    </row>
    <row r="277" spans="17:49" x14ac:dyDescent="0.35">
      <c r="Q277" t="s">
        <v>487</v>
      </c>
      <c r="R277" s="67">
        <v>265.10399999999998</v>
      </c>
      <c r="U277" s="3" t="str">
        <v>Ultra Door Pull Handle</v>
      </c>
      <c r="V277" s="1">
        <v>265.10399999999998</v>
      </c>
      <c r="W277" s="1">
        <v>0</v>
      </c>
      <c r="X277" s="1"/>
      <c r="Y277" s="1"/>
      <c r="Z277" s="1"/>
      <c r="AC277" s="3" t="str">
        <f t="shared" si="16"/>
        <v/>
      </c>
      <c r="AE277" s="1"/>
      <c r="AG277" s="1"/>
      <c r="AK277" t="s">
        <v>133</v>
      </c>
      <c r="AL277" s="67">
        <v>270.83999999999997</v>
      </c>
      <c r="AM277" s="67">
        <v>108.092</v>
      </c>
      <c r="AN277" s="55">
        <v>0.4</v>
      </c>
      <c r="AO277" s="69">
        <v>6</v>
      </c>
      <c r="AP277" s="69">
        <v>23</v>
      </c>
      <c r="AR277" s="3" t="str">
        <v>Advantus Panel Wall Certificate Holder - 8.5x11</v>
      </c>
      <c r="AS277" s="1">
        <v>270.83999999999997</v>
      </c>
      <c r="AT277" s="3">
        <v>108.092</v>
      </c>
      <c r="AU277" s="16">
        <v>0.4</v>
      </c>
      <c r="AV277" s="3">
        <v>6</v>
      </c>
      <c r="AW277" s="3">
        <v>23</v>
      </c>
    </row>
    <row r="278" spans="17:49" x14ac:dyDescent="0.35">
      <c r="Q278" t="s">
        <v>242</v>
      </c>
      <c r="R278" s="67">
        <v>262.75200000000001</v>
      </c>
      <c r="U278" s="3" t="str">
        <v>Eldon Expressions Desk Accessory, Wood Photo Frame, Mahogany</v>
      </c>
      <c r="V278" s="1">
        <v>262.75200000000001</v>
      </c>
      <c r="W278" s="1">
        <v>0</v>
      </c>
      <c r="X278" s="1"/>
      <c r="Y278" s="1"/>
      <c r="Z278" s="1"/>
      <c r="AC278" s="3" t="str">
        <f t="shared" si="16"/>
        <v/>
      </c>
      <c r="AE278" s="1"/>
      <c r="AG278" s="1"/>
      <c r="AK278" t="s">
        <v>135</v>
      </c>
      <c r="AL278" s="67">
        <v>51.781999999999996</v>
      </c>
      <c r="AM278" s="67">
        <v>0</v>
      </c>
      <c r="AN278" s="55">
        <v>0.60000000000000009</v>
      </c>
      <c r="AO278" s="69">
        <v>2</v>
      </c>
      <c r="AP278" s="69">
        <v>5</v>
      </c>
      <c r="AR278" s="3" t="str">
        <v>Anderson Hickey Conga Table Tops &amp; Accessories</v>
      </c>
      <c r="AS278" s="1">
        <v>51.781999999999996</v>
      </c>
      <c r="AT278" s="3">
        <v>0</v>
      </c>
      <c r="AU278" s="16">
        <v>0.60000000000000009</v>
      </c>
      <c r="AV278" s="3">
        <v>2</v>
      </c>
      <c r="AW278" s="3">
        <v>5</v>
      </c>
    </row>
    <row r="279" spans="17:49" x14ac:dyDescent="0.35">
      <c r="Q279" t="s">
        <v>322</v>
      </c>
      <c r="R279" s="67">
        <v>260.14800000000002</v>
      </c>
      <c r="U279" s="3" t="str">
        <v>Hand-Finished Solid Wood Document Frame</v>
      </c>
      <c r="V279" s="1">
        <v>260.14800000000002</v>
      </c>
      <c r="W279" s="1">
        <v>0</v>
      </c>
      <c r="X279" s="1"/>
      <c r="Y279" s="1"/>
      <c r="Z279" s="1"/>
      <c r="AC279" s="3" t="str">
        <f t="shared" si="16"/>
        <v/>
      </c>
      <c r="AE279" s="1"/>
      <c r="AG279" s="1"/>
      <c r="AK279" t="s">
        <v>136</v>
      </c>
      <c r="AL279" s="67">
        <v>156.80000000000001</v>
      </c>
      <c r="AM279" s="67">
        <v>61.152000000000001</v>
      </c>
      <c r="AN279" s="55">
        <v>0</v>
      </c>
      <c r="AO279" s="69">
        <v>3</v>
      </c>
      <c r="AP279" s="69">
        <v>10</v>
      </c>
      <c r="AR279" s="3" t="str">
        <v>Artistic Insta-Plaque</v>
      </c>
      <c r="AS279" s="1">
        <v>156.80000000000001</v>
      </c>
      <c r="AT279" s="3">
        <v>61.152000000000001</v>
      </c>
      <c r="AU279" s="16">
        <v>0</v>
      </c>
      <c r="AV279" s="3">
        <v>3</v>
      </c>
      <c r="AW279" s="3">
        <v>10</v>
      </c>
    </row>
    <row r="280" spans="17:49" x14ac:dyDescent="0.35">
      <c r="Q280" t="s">
        <v>264</v>
      </c>
      <c r="R280" s="67">
        <v>258.72000000000003</v>
      </c>
      <c r="U280" s="3" t="str">
        <v>Executive Impressions 10" Spectator Wall Clock</v>
      </c>
      <c r="V280" s="1">
        <v>258.72000000000003</v>
      </c>
      <c r="W280" s="1">
        <v>0</v>
      </c>
      <c r="X280" s="1"/>
      <c r="Y280" s="1"/>
      <c r="Z280" s="1"/>
      <c r="AC280" s="3" t="str">
        <f t="shared" si="16"/>
        <v/>
      </c>
      <c r="AE280" s="1"/>
      <c r="AG280" s="1"/>
      <c r="AK280" t="s">
        <v>139</v>
      </c>
      <c r="AL280" s="67">
        <v>5184.0810000000001</v>
      </c>
      <c r="AM280" s="67">
        <v>660.303</v>
      </c>
      <c r="AN280" s="55">
        <v>1.5999999999999999</v>
      </c>
      <c r="AO280" s="69">
        <v>6</v>
      </c>
      <c r="AP280" s="69">
        <v>27</v>
      </c>
      <c r="AR280" s="3" t="str">
        <v>Atlantic Metals Mobile 4-Shelf Bookcases, Custom Colors</v>
      </c>
      <c r="AS280" s="1">
        <v>5184.0810000000001</v>
      </c>
      <c r="AT280" s="3">
        <v>660.303</v>
      </c>
      <c r="AU280" s="16">
        <v>1.5999999999999999</v>
      </c>
      <c r="AV280" s="3">
        <v>6</v>
      </c>
      <c r="AW280" s="3">
        <v>27</v>
      </c>
    </row>
    <row r="281" spans="17:49" x14ac:dyDescent="0.35">
      <c r="Q281" t="s">
        <v>266</v>
      </c>
      <c r="R281" s="67">
        <v>253.8</v>
      </c>
      <c r="U281" s="3" t="str">
        <v>Executive Impressions 13" Chairman Wall Clock</v>
      </c>
      <c r="V281" s="1">
        <v>253.8</v>
      </c>
      <c r="W281" s="1">
        <v>0</v>
      </c>
      <c r="X281" s="1"/>
      <c r="Y281" s="1"/>
      <c r="Z281" s="1"/>
      <c r="AC281" s="3" t="str">
        <f t="shared" si="16"/>
        <v/>
      </c>
      <c r="AE281" s="1"/>
      <c r="AG281" s="1"/>
      <c r="AK281" t="s">
        <v>144</v>
      </c>
      <c r="AL281" s="67">
        <v>1088.6400000000001</v>
      </c>
      <c r="AM281" s="67">
        <v>12.096</v>
      </c>
      <c r="AN281" s="55">
        <v>1.6</v>
      </c>
      <c r="AO281" s="69">
        <v>5</v>
      </c>
      <c r="AP281" s="69">
        <v>16</v>
      </c>
      <c r="AR281" s="3" t="str">
        <v>Barricks 18" x 48" Non-Folding Utility Table with Bottom Storage Shelf</v>
      </c>
      <c r="AS281" s="1">
        <v>1088.6400000000001</v>
      </c>
      <c r="AT281" s="3">
        <v>12.096</v>
      </c>
      <c r="AU281" s="16">
        <v>1.6</v>
      </c>
      <c r="AV281" s="3">
        <v>5</v>
      </c>
      <c r="AW281" s="3">
        <v>16</v>
      </c>
    </row>
    <row r="282" spans="17:49" x14ac:dyDescent="0.35">
      <c r="Q282" t="s">
        <v>378</v>
      </c>
      <c r="R282" s="67">
        <v>253.648</v>
      </c>
      <c r="U282" s="3" t="str">
        <v>Linden 10" Round Wall Clock, Black</v>
      </c>
      <c r="V282" s="1">
        <v>253.648</v>
      </c>
      <c r="W282" s="1">
        <v>0</v>
      </c>
      <c r="X282" s="1"/>
      <c r="Y282" s="1"/>
      <c r="Z282" s="1"/>
      <c r="AC282" s="3" t="str">
        <f t="shared" si="16"/>
        <v/>
      </c>
      <c r="AE282" s="1"/>
      <c r="AG282" s="1"/>
      <c r="AK282" t="s">
        <v>145</v>
      </c>
      <c r="AL282" s="67">
        <v>136.464</v>
      </c>
      <c r="AM282" s="67">
        <v>15.3522</v>
      </c>
      <c r="AN282" s="55">
        <v>0.2</v>
      </c>
      <c r="AO282" s="69">
        <v>1</v>
      </c>
      <c r="AP282" s="69">
        <v>2</v>
      </c>
      <c r="AR282" s="3" t="str">
        <v>Barricks Non-Folding Utility Table with Steel Legs, Laminate Tops</v>
      </c>
      <c r="AS282" s="1">
        <v>136.464</v>
      </c>
      <c r="AT282" s="3">
        <v>15.3522</v>
      </c>
      <c r="AU282" s="16">
        <v>0.2</v>
      </c>
      <c r="AV282" s="3">
        <v>1</v>
      </c>
      <c r="AW282" s="3">
        <v>2</v>
      </c>
    </row>
    <row r="283" spans="17:49" x14ac:dyDescent="0.35">
      <c r="Q283" t="s">
        <v>387</v>
      </c>
      <c r="R283" s="67">
        <v>251.76</v>
      </c>
      <c r="U283" s="3" t="str">
        <v>Magnifier Swing Arm Lamp</v>
      </c>
      <c r="V283" s="1">
        <v>251.76</v>
      </c>
      <c r="W283" s="1">
        <v>0</v>
      </c>
      <c r="X283" s="1"/>
      <c r="Y283" s="1"/>
      <c r="Z283" s="1"/>
      <c r="AC283" s="3" t="str">
        <f t="shared" si="16"/>
        <v/>
      </c>
      <c r="AE283" s="1"/>
      <c r="AG283" s="1"/>
      <c r="AK283" t="s">
        <v>152</v>
      </c>
      <c r="AL283" s="67">
        <v>4544.9250000000002</v>
      </c>
      <c r="AM283" s="67">
        <v>363.59399999999999</v>
      </c>
      <c r="AN283" s="55">
        <v>1.3</v>
      </c>
      <c r="AO283" s="69">
        <v>5</v>
      </c>
      <c r="AP283" s="69">
        <v>24</v>
      </c>
      <c r="AR283" s="3" t="str">
        <v>Bevis Round Bullnose 29" High Table Top</v>
      </c>
      <c r="AS283" s="1">
        <v>4544.9250000000002</v>
      </c>
      <c r="AT283" s="3">
        <v>363.59399999999999</v>
      </c>
      <c r="AU283" s="16">
        <v>1.3</v>
      </c>
      <c r="AV283" s="3">
        <v>5</v>
      </c>
      <c r="AW283" s="3">
        <v>24</v>
      </c>
    </row>
    <row r="284" spans="17:49" x14ac:dyDescent="0.35">
      <c r="Q284" t="s">
        <v>402</v>
      </c>
      <c r="R284" s="67">
        <v>246.648</v>
      </c>
      <c r="U284" s="3" t="str">
        <v>Nu-Dell Leatherette Frames</v>
      </c>
      <c r="V284" s="1">
        <v>246.648</v>
      </c>
      <c r="W284" s="1">
        <v>0</v>
      </c>
      <c r="X284" s="1"/>
      <c r="Y284" s="1"/>
      <c r="Z284" s="1"/>
      <c r="AC284" s="3" t="str">
        <f t="shared" si="16"/>
        <v/>
      </c>
      <c r="AE284" s="1"/>
      <c r="AG284" s="1"/>
      <c r="AK284" t="s">
        <v>156</v>
      </c>
      <c r="AL284" s="67">
        <v>1775.075</v>
      </c>
      <c r="AM284" s="67">
        <v>130.49199999999999</v>
      </c>
      <c r="AN284" s="55">
        <v>1.3</v>
      </c>
      <c r="AO284" s="69">
        <v>6</v>
      </c>
      <c r="AP284" s="69">
        <v>24</v>
      </c>
      <c r="AR284" s="3" t="str">
        <v>Bevis Steel Folding Chairs</v>
      </c>
      <c r="AS284" s="1">
        <v>1775.075</v>
      </c>
      <c r="AT284" s="3">
        <v>130.49199999999999</v>
      </c>
      <c r="AU284" s="16">
        <v>1.3</v>
      </c>
      <c r="AV284" s="3">
        <v>6</v>
      </c>
      <c r="AW284" s="3">
        <v>24</v>
      </c>
    </row>
    <row r="285" spans="17:49" x14ac:dyDescent="0.35">
      <c r="Q285" t="s">
        <v>442</v>
      </c>
      <c r="R285" s="67">
        <v>245.08799999999999</v>
      </c>
      <c r="U285" s="3" t="str">
        <v>SAFCO Optional Arm Kit for Workspace Cribbage Stacking Chair</v>
      </c>
      <c r="V285" s="1">
        <v>245.08799999999999</v>
      </c>
      <c r="W285" s="1">
        <v>0</v>
      </c>
      <c r="X285" s="1"/>
      <c r="Y285" s="1"/>
      <c r="Z285" s="1"/>
      <c r="AC285" s="3" t="str">
        <f t="shared" si="16"/>
        <v/>
      </c>
      <c r="AE285" s="1"/>
      <c r="AG285" s="1"/>
      <c r="AK285" t="s">
        <v>112</v>
      </c>
      <c r="AL285" s="67">
        <v>12995.291499999999</v>
      </c>
      <c r="AM285" s="67">
        <v>831.2473</v>
      </c>
      <c r="AN285" s="55">
        <v>2.9499999999999997</v>
      </c>
      <c r="AO285" s="69">
        <v>12</v>
      </c>
      <c r="AP285" s="69">
        <v>46</v>
      </c>
      <c r="AR285" s="3" t="str">
        <v>Bretford Rectangular Conference Table Tops</v>
      </c>
      <c r="AS285" s="1">
        <v>12995.291499999999</v>
      </c>
      <c r="AT285" s="3">
        <v>831.2473</v>
      </c>
      <c r="AU285" s="16">
        <v>2.9499999999999997</v>
      </c>
      <c r="AV285" s="3">
        <v>12</v>
      </c>
      <c r="AW285" s="3">
        <v>46</v>
      </c>
    </row>
    <row r="286" spans="17:49" x14ac:dyDescent="0.35">
      <c r="Q286" t="s">
        <v>134</v>
      </c>
      <c r="R286" s="67">
        <v>244.4</v>
      </c>
      <c r="U286" s="3" t="str">
        <v>Aluminum Document Frame</v>
      </c>
      <c r="V286" s="1">
        <v>244.4</v>
      </c>
      <c r="W286" s="1">
        <v>0</v>
      </c>
      <c r="X286" s="1"/>
      <c r="Y286" s="1"/>
      <c r="Z286" s="1"/>
      <c r="AC286" s="3" t="str">
        <f t="shared" si="16"/>
        <v/>
      </c>
      <c r="AE286" s="1"/>
      <c r="AG286" s="1"/>
      <c r="AK286" t="s">
        <v>164</v>
      </c>
      <c r="AL286" s="67">
        <v>3317.7235000000001</v>
      </c>
      <c r="AM286" s="67">
        <v>303.57470000000001</v>
      </c>
      <c r="AN286" s="55">
        <v>1.5</v>
      </c>
      <c r="AO286" s="69">
        <v>9</v>
      </c>
      <c r="AP286" s="69">
        <v>34</v>
      </c>
      <c r="AR286" s="3" t="str">
        <v>Bush Andora Bookcase, Maple/Graphite Gray Finish</v>
      </c>
      <c r="AS286" s="1">
        <v>3317.7235000000001</v>
      </c>
      <c r="AT286" s="3">
        <v>303.57470000000001</v>
      </c>
      <c r="AU286" s="16">
        <v>1.5</v>
      </c>
      <c r="AV286" s="3">
        <v>9</v>
      </c>
      <c r="AW286" s="3">
        <v>34</v>
      </c>
    </row>
    <row r="287" spans="17:49" x14ac:dyDescent="0.35">
      <c r="Q287" t="s">
        <v>208</v>
      </c>
      <c r="R287" s="67">
        <v>234.78399999999999</v>
      </c>
      <c r="U287" s="3" t="str">
        <v>DAX Two-Tone Silver Metal Document Frame</v>
      </c>
      <c r="V287" s="1">
        <v>234.78399999999999</v>
      </c>
      <c r="W287" s="1">
        <v>0</v>
      </c>
      <c r="X287" s="1"/>
      <c r="Y287" s="1"/>
      <c r="Z287" s="1"/>
      <c r="AC287" s="3" t="str">
        <f t="shared" si="16"/>
        <v/>
      </c>
      <c r="AE287" s="1"/>
      <c r="AG287" s="1"/>
      <c r="AK287" t="s">
        <v>167</v>
      </c>
      <c r="AL287" s="67">
        <v>729.23400000000004</v>
      </c>
      <c r="AM287" s="67">
        <v>152.47620000000001</v>
      </c>
      <c r="AN287" s="55">
        <v>0.7</v>
      </c>
      <c r="AO287" s="69">
        <v>3</v>
      </c>
      <c r="AP287" s="69">
        <v>4</v>
      </c>
      <c r="AR287" s="3" t="str">
        <v>Bush Cubix Collection Bookcases, Fully Assembled</v>
      </c>
      <c r="AS287" s="1">
        <v>729.23400000000004</v>
      </c>
      <c r="AT287" s="3">
        <v>152.47620000000001</v>
      </c>
      <c r="AU287" s="16">
        <v>0.7</v>
      </c>
      <c r="AV287" s="3">
        <v>3</v>
      </c>
      <c r="AW287" s="3">
        <v>4</v>
      </c>
    </row>
    <row r="288" spans="17:49" x14ac:dyDescent="0.35">
      <c r="Q288" t="s">
        <v>126</v>
      </c>
      <c r="R288" s="67">
        <v>216.34</v>
      </c>
      <c r="U288" s="3" t="str">
        <v>3M Polarizing Light Filter Sleeves</v>
      </c>
      <c r="V288" s="1">
        <v>216.34</v>
      </c>
      <c r="W288" s="1">
        <v>0</v>
      </c>
      <c r="X288" s="1"/>
      <c r="Y288" s="1"/>
      <c r="Z288" s="1"/>
      <c r="AC288" s="3" t="str">
        <f t="shared" si="16"/>
        <v/>
      </c>
      <c r="AE288" s="1"/>
      <c r="AG288" s="1"/>
      <c r="AK288" t="s">
        <v>171</v>
      </c>
      <c r="AL288" s="67">
        <v>119.833</v>
      </c>
      <c r="AM288" s="67">
        <v>0</v>
      </c>
      <c r="AN288" s="55">
        <v>0.15</v>
      </c>
      <c r="AO288" s="69">
        <v>1</v>
      </c>
      <c r="AP288" s="69">
        <v>1</v>
      </c>
      <c r="AR288" s="3" t="str">
        <v>Bush Saratoga Collection 5-Shelf Bookcase, Hanover Cherry, *Special Order</v>
      </c>
      <c r="AS288" s="1">
        <v>119.833</v>
      </c>
      <c r="AT288" s="3">
        <v>0</v>
      </c>
      <c r="AU288" s="16">
        <v>0.15</v>
      </c>
      <c r="AV288" s="3">
        <v>1</v>
      </c>
      <c r="AW288" s="3">
        <v>1</v>
      </c>
    </row>
    <row r="289" spans="17:49" x14ac:dyDescent="0.35">
      <c r="Q289" t="s">
        <v>207</v>
      </c>
      <c r="R289" s="67">
        <v>216.14400000000001</v>
      </c>
      <c r="U289" s="3" t="str">
        <v>DAX Two-Tone Rosewood/Black Document Frame, Desktop, 5 x 7</v>
      </c>
      <c r="V289" s="1">
        <v>216.14400000000001</v>
      </c>
      <c r="W289" s="1">
        <v>0</v>
      </c>
      <c r="X289" s="1"/>
      <c r="Y289" s="1"/>
      <c r="Z289" s="1"/>
      <c r="AC289" s="3" t="str">
        <f t="shared" si="16"/>
        <v/>
      </c>
      <c r="AE289" s="1"/>
      <c r="AG289" s="1"/>
      <c r="AK289" t="s">
        <v>172</v>
      </c>
      <c r="AL289" s="67">
        <v>1263.9570000000001</v>
      </c>
      <c r="AM289" s="67">
        <v>48.462600000000002</v>
      </c>
      <c r="AN289" s="55">
        <v>0.85</v>
      </c>
      <c r="AO289" s="69">
        <v>4</v>
      </c>
      <c r="AP289" s="69">
        <v>12</v>
      </c>
      <c r="AR289" s="3" t="str">
        <v>Bush Somerset Collection Bookcase</v>
      </c>
      <c r="AS289" s="1">
        <v>1263.9570000000001</v>
      </c>
      <c r="AT289" s="3">
        <v>48.462600000000002</v>
      </c>
      <c r="AU289" s="16">
        <v>0.85</v>
      </c>
      <c r="AV289" s="3">
        <v>4</v>
      </c>
      <c r="AW289" s="3">
        <v>12</v>
      </c>
    </row>
    <row r="290" spans="17:49" x14ac:dyDescent="0.35">
      <c r="Q290" t="s">
        <v>462</v>
      </c>
      <c r="R290" s="67">
        <v>210.91200000000001</v>
      </c>
      <c r="U290" s="3" t="str">
        <v>Seth Thomas 8 1/2" Cubicle Clock</v>
      </c>
      <c r="V290" s="1">
        <v>210.91200000000001</v>
      </c>
      <c r="W290" s="1">
        <v>0</v>
      </c>
      <c r="X290" s="1"/>
      <c r="Y290" s="1"/>
      <c r="Z290" s="1"/>
      <c r="AC290" s="3" t="str">
        <f t="shared" si="16"/>
        <v/>
      </c>
      <c r="AE290" s="1"/>
      <c r="AG290" s="1"/>
      <c r="AK290" t="s">
        <v>174</v>
      </c>
      <c r="AL290" s="67">
        <v>90.882000000000005</v>
      </c>
      <c r="AM290" s="67">
        <v>0</v>
      </c>
      <c r="AN290" s="55">
        <v>0.7</v>
      </c>
      <c r="AO290" s="69">
        <v>1</v>
      </c>
      <c r="AP290" s="69">
        <v>3</v>
      </c>
      <c r="AR290" s="3" t="str">
        <v>Bush Westfield Collection Bookcases, Dark Cherry Finish, Fully Assembled</v>
      </c>
      <c r="AS290" s="1">
        <v>90.882000000000005</v>
      </c>
      <c r="AT290" s="3">
        <v>0</v>
      </c>
      <c r="AU290" s="16">
        <v>0.7</v>
      </c>
      <c r="AV290" s="3">
        <v>1</v>
      </c>
      <c r="AW290" s="3">
        <v>3</v>
      </c>
    </row>
    <row r="291" spans="17:49" x14ac:dyDescent="0.35">
      <c r="Q291" t="s">
        <v>299</v>
      </c>
      <c r="R291" s="67">
        <v>207.184</v>
      </c>
      <c r="U291" s="3" t="str">
        <v>Global Enterprise Series Seating Low-Back Swivel/Tilt Chairs</v>
      </c>
      <c r="V291" s="1">
        <v>207.184</v>
      </c>
      <c r="W291" s="1">
        <v>0</v>
      </c>
      <c r="X291" s="1"/>
      <c r="Y291" s="1"/>
      <c r="Z291" s="1"/>
      <c r="AC291" s="3" t="str">
        <f t="shared" si="16"/>
        <v/>
      </c>
      <c r="AE291" s="1"/>
      <c r="AG291" s="1"/>
      <c r="AK291" t="s">
        <v>179</v>
      </c>
      <c r="AL291" s="67">
        <v>4297.6440000000002</v>
      </c>
      <c r="AM291" s="67">
        <v>314.05860000000001</v>
      </c>
      <c r="AN291" s="55">
        <v>2</v>
      </c>
      <c r="AO291" s="69">
        <v>6</v>
      </c>
      <c r="AP291" s="69">
        <v>11</v>
      </c>
      <c r="AR291" s="3" t="str">
        <v>Chromcraft Bull-Nose Wood 48" x 96" Rectangular Conference Tables</v>
      </c>
      <c r="AS291" s="1">
        <v>4297.6440000000002</v>
      </c>
      <c r="AT291" s="3">
        <v>314.05860000000001</v>
      </c>
      <c r="AU291" s="16">
        <v>2</v>
      </c>
      <c r="AV291" s="3">
        <v>6</v>
      </c>
      <c r="AW291" s="3">
        <v>11</v>
      </c>
    </row>
    <row r="292" spans="17:49" x14ac:dyDescent="0.35">
      <c r="Q292" t="s">
        <v>230</v>
      </c>
      <c r="R292" s="67">
        <v>197.94800000000001</v>
      </c>
      <c r="U292" s="3" t="str">
        <v>Eldon 500 Class Desk Accessories</v>
      </c>
      <c r="V292" s="1">
        <v>197.94800000000001</v>
      </c>
      <c r="W292" s="1">
        <v>0</v>
      </c>
      <c r="X292" s="1"/>
      <c r="Y292" s="1"/>
      <c r="Z292" s="1"/>
      <c r="AC292" s="3" t="str">
        <f t="shared" si="16"/>
        <v/>
      </c>
      <c r="AE292" s="1"/>
      <c r="AG292" s="1"/>
      <c r="AK292" t="s">
        <v>187</v>
      </c>
      <c r="AL292" s="67">
        <v>636.60799999999995</v>
      </c>
      <c r="AM292" s="67">
        <v>179.28960000000001</v>
      </c>
      <c r="AN292" s="55">
        <v>1</v>
      </c>
      <c r="AO292" s="69">
        <v>7</v>
      </c>
      <c r="AP292" s="69">
        <v>22</v>
      </c>
      <c r="AR292" s="3" t="str">
        <v>Computer Room Manger, 14"</v>
      </c>
      <c r="AS292" s="1">
        <v>636.60799999999995</v>
      </c>
      <c r="AT292" s="3">
        <v>179.28960000000001</v>
      </c>
      <c r="AU292" s="16">
        <v>1</v>
      </c>
      <c r="AV292" s="3">
        <v>7</v>
      </c>
      <c r="AW292" s="3">
        <v>22</v>
      </c>
    </row>
    <row r="293" spans="17:49" x14ac:dyDescent="0.35">
      <c r="Q293" t="s">
        <v>203</v>
      </c>
      <c r="R293" s="67">
        <v>196.24799999999999</v>
      </c>
      <c r="U293" s="3" t="str">
        <v>DAX Executive Solid Wood Document Frame, Desktop or Hang, Mahogany, 5 x 7</v>
      </c>
      <c r="V293" s="1">
        <v>196.24799999999999</v>
      </c>
      <c r="W293" s="1">
        <v>0</v>
      </c>
      <c r="X293" s="1"/>
      <c r="Y293" s="1"/>
      <c r="Z293" s="1"/>
      <c r="AC293" s="3" t="str">
        <f t="shared" si="16"/>
        <v/>
      </c>
      <c r="AE293" s="1"/>
      <c r="AG293" s="1"/>
      <c r="AK293" t="s">
        <v>192</v>
      </c>
      <c r="AL293" s="67">
        <v>1114.384</v>
      </c>
      <c r="AM293" s="67">
        <v>288.42880000000002</v>
      </c>
      <c r="AN293" s="55">
        <v>0.4</v>
      </c>
      <c r="AO293" s="69">
        <v>6</v>
      </c>
      <c r="AP293" s="69">
        <v>28</v>
      </c>
      <c r="AR293" s="3" t="str">
        <v>Dana Halogen Swing-Arm Architect Lamp</v>
      </c>
      <c r="AS293" s="1">
        <v>1114.384</v>
      </c>
      <c r="AT293" s="3">
        <v>288.42880000000002</v>
      </c>
      <c r="AU293" s="16">
        <v>0.4</v>
      </c>
      <c r="AV293" s="3">
        <v>6</v>
      </c>
      <c r="AW293" s="3">
        <v>28</v>
      </c>
    </row>
    <row r="294" spans="17:49" x14ac:dyDescent="0.35">
      <c r="Q294" t="s">
        <v>177</v>
      </c>
      <c r="R294" s="67">
        <v>194.68799999999999</v>
      </c>
      <c r="U294" s="3" t="str">
        <v>Career Cubicle Clock, 8 1/4", Black</v>
      </c>
      <c r="V294" s="1">
        <v>194.68799999999999</v>
      </c>
      <c r="W294" s="1">
        <v>0</v>
      </c>
      <c r="X294" s="1"/>
      <c r="Y294" s="1"/>
      <c r="Z294" s="1"/>
      <c r="AC294" s="3" t="str">
        <f t="shared" si="16"/>
        <v/>
      </c>
      <c r="AE294" s="1"/>
      <c r="AG294" s="1"/>
      <c r="AK294" t="s">
        <v>199</v>
      </c>
      <c r="AL294" s="67">
        <v>291.45600000000002</v>
      </c>
      <c r="AM294" s="67">
        <v>97.152000000000001</v>
      </c>
      <c r="AN294" s="55">
        <v>0.2</v>
      </c>
      <c r="AO294" s="69">
        <v>5</v>
      </c>
      <c r="AP294" s="69">
        <v>15</v>
      </c>
      <c r="AR294" s="3" t="str">
        <v>DAX Contemporary Wood Frame with Silver Metal Mat, Desktop, 11 x 14 Size</v>
      </c>
      <c r="AS294" s="1">
        <v>291.45600000000002</v>
      </c>
      <c r="AT294" s="3">
        <v>97.152000000000001</v>
      </c>
      <c r="AU294" s="16">
        <v>0.2</v>
      </c>
      <c r="AV294" s="3">
        <v>5</v>
      </c>
      <c r="AW294" s="3">
        <v>15</v>
      </c>
    </row>
    <row r="295" spans="17:49" x14ac:dyDescent="0.35">
      <c r="Q295" t="s">
        <v>189</v>
      </c>
      <c r="R295" s="67">
        <v>193.92</v>
      </c>
      <c r="U295" s="3" t="str">
        <v>Contemporary Wood/Metal Frame</v>
      </c>
      <c r="V295" s="1">
        <v>193.92</v>
      </c>
      <c r="W295" s="1">
        <v>0</v>
      </c>
      <c r="X295" s="1"/>
      <c r="Y295" s="1"/>
      <c r="Z295" s="1"/>
      <c r="AC295" s="3" t="str">
        <f t="shared" si="16"/>
        <v/>
      </c>
      <c r="AE295" s="1"/>
      <c r="AG295" s="1"/>
      <c r="AK295" t="s">
        <v>203</v>
      </c>
      <c r="AL295" s="67">
        <v>196.24799999999999</v>
      </c>
      <c r="AM295" s="67">
        <v>55.1004</v>
      </c>
      <c r="AN295" s="55">
        <v>0.2</v>
      </c>
      <c r="AO295" s="69">
        <v>5</v>
      </c>
      <c r="AP295" s="69">
        <v>17</v>
      </c>
      <c r="AR295" s="3" t="str">
        <v>DAX Executive Solid Wood Document Frame, Desktop or Hang, Mahogany, 5 x 7</v>
      </c>
      <c r="AS295" s="1">
        <v>196.24799999999999</v>
      </c>
      <c r="AT295" s="3">
        <v>55.1004</v>
      </c>
      <c r="AU295" s="16">
        <v>0.2</v>
      </c>
      <c r="AV295" s="3">
        <v>5</v>
      </c>
      <c r="AW295" s="3">
        <v>17</v>
      </c>
    </row>
    <row r="296" spans="17:49" x14ac:dyDescent="0.35">
      <c r="Q296" t="s">
        <v>248</v>
      </c>
      <c r="R296" s="67">
        <v>183.024</v>
      </c>
      <c r="U296" s="3" t="str">
        <v>Eldon Expressions Wood Desk Accessories, Oak</v>
      </c>
      <c r="V296" s="1">
        <v>183.024</v>
      </c>
      <c r="W296" s="1">
        <v>0</v>
      </c>
      <c r="X296" s="1"/>
      <c r="Y296" s="1"/>
      <c r="Z296" s="1"/>
      <c r="AC296" s="3" t="str">
        <f t="shared" si="16"/>
        <v/>
      </c>
      <c r="AE296" s="1"/>
      <c r="AG296" s="1"/>
      <c r="AK296" t="s">
        <v>206</v>
      </c>
      <c r="AL296" s="67">
        <v>113.33199999999999</v>
      </c>
      <c r="AM296" s="67">
        <v>33.3157</v>
      </c>
      <c r="AN296" s="55">
        <v>0.2</v>
      </c>
      <c r="AO296" s="69">
        <v>3</v>
      </c>
      <c r="AP296" s="69">
        <v>13</v>
      </c>
      <c r="AR296" s="3" t="str">
        <v>DAX Solid Wood Frames</v>
      </c>
      <c r="AS296" s="1">
        <v>113.33199999999999</v>
      </c>
      <c r="AT296" s="3">
        <v>33.3157</v>
      </c>
      <c r="AU296" s="16">
        <v>0.2</v>
      </c>
      <c r="AV296" s="3">
        <v>3</v>
      </c>
      <c r="AW296" s="3">
        <v>13</v>
      </c>
    </row>
    <row r="297" spans="17:49" x14ac:dyDescent="0.35">
      <c r="Q297" t="s">
        <v>478</v>
      </c>
      <c r="R297" s="67">
        <v>180.46</v>
      </c>
      <c r="U297" s="3" t="str">
        <v>Tenex Traditional Chairmats for Hard Floors, Average Lip, 36" x 48"</v>
      </c>
      <c r="V297" s="1">
        <v>180.46</v>
      </c>
      <c r="W297" s="1">
        <v>0</v>
      </c>
      <c r="X297" s="1"/>
      <c r="Y297" s="1"/>
      <c r="Z297" s="1"/>
      <c r="AC297" s="3" t="str">
        <f t="shared" si="16"/>
        <v/>
      </c>
      <c r="AE297" s="1"/>
      <c r="AG297" s="1"/>
      <c r="AK297" t="s">
        <v>214</v>
      </c>
      <c r="AL297" s="67">
        <v>702.44</v>
      </c>
      <c r="AM297" s="67">
        <v>123.96</v>
      </c>
      <c r="AN297" s="55">
        <v>0.2</v>
      </c>
      <c r="AO297" s="69">
        <v>3</v>
      </c>
      <c r="AP297" s="69">
        <v>14</v>
      </c>
      <c r="AR297" s="3" t="str">
        <v>Deflect-o EconoMat Nonstudded, No Bevel Mat</v>
      </c>
      <c r="AS297" s="1">
        <v>702.44</v>
      </c>
      <c r="AT297" s="3">
        <v>123.96</v>
      </c>
      <c r="AU297" s="16">
        <v>0.2</v>
      </c>
      <c r="AV297" s="3">
        <v>3</v>
      </c>
      <c r="AW297" s="3">
        <v>14</v>
      </c>
    </row>
    <row r="298" spans="17:49" x14ac:dyDescent="0.35">
      <c r="Q298" t="s">
        <v>252</v>
      </c>
      <c r="R298" s="67">
        <v>180.31</v>
      </c>
      <c r="U298" s="3" t="str">
        <v>Eldon Image Series Desk Accessories, Ebony</v>
      </c>
      <c r="V298" s="1">
        <v>180.31</v>
      </c>
      <c r="W298" s="1">
        <v>0</v>
      </c>
      <c r="X298" s="1"/>
      <c r="Y298" s="1"/>
      <c r="Z298" s="1"/>
      <c r="AC298" s="3" t="str">
        <f t="shared" si="16"/>
        <v/>
      </c>
      <c r="AE298" s="1"/>
      <c r="AG298" s="1"/>
      <c r="AK298" t="s">
        <v>217</v>
      </c>
      <c r="AL298" s="67">
        <v>124.74</v>
      </c>
      <c r="AM298" s="67">
        <v>37.036999999999999</v>
      </c>
      <c r="AN298" s="55">
        <v>0.2</v>
      </c>
      <c r="AO298" s="69">
        <v>3</v>
      </c>
      <c r="AP298" s="69">
        <v>17</v>
      </c>
      <c r="AR298" s="3" t="str">
        <v>Deflect-O Glasstique Clear Desk Accessories</v>
      </c>
      <c r="AS298" s="1">
        <v>124.74</v>
      </c>
      <c r="AT298" s="3">
        <v>37.036999999999999</v>
      </c>
      <c r="AU298" s="16">
        <v>0.2</v>
      </c>
      <c r="AV298" s="3">
        <v>3</v>
      </c>
      <c r="AW298" s="3">
        <v>17</v>
      </c>
    </row>
    <row r="299" spans="17:49" x14ac:dyDescent="0.35">
      <c r="Q299" t="s">
        <v>389</v>
      </c>
      <c r="R299" s="67">
        <v>176.78399999999999</v>
      </c>
      <c r="U299" s="3" t="str">
        <v>Master Caster Door Stop, Brown</v>
      </c>
      <c r="V299" s="1">
        <v>176.78399999999999</v>
      </c>
      <c r="W299" s="1">
        <v>0</v>
      </c>
      <c r="X299" s="1"/>
      <c r="Y299" s="1"/>
      <c r="Z299" s="1"/>
      <c r="AC299" s="3" t="str">
        <f t="shared" si="16"/>
        <v/>
      </c>
      <c r="AE299" s="1"/>
      <c r="AG299" s="1"/>
      <c r="AK299" t="s">
        <v>115</v>
      </c>
      <c r="AL299" s="67">
        <v>11046.609</v>
      </c>
      <c r="AM299" s="67">
        <v>180.3528</v>
      </c>
      <c r="AN299" s="55">
        <v>1.1000000000000001</v>
      </c>
      <c r="AO299" s="69">
        <v>6</v>
      </c>
      <c r="AP299" s="69">
        <v>27</v>
      </c>
      <c r="AR299" s="3" t="str">
        <v>DMI Eclipse Executive Suite Bookcases</v>
      </c>
      <c r="AS299" s="1">
        <v>11046.609</v>
      </c>
      <c r="AT299" s="3">
        <v>180.3528</v>
      </c>
      <c r="AU299" s="16">
        <v>1.1000000000000001</v>
      </c>
      <c r="AV299" s="3">
        <v>6</v>
      </c>
      <c r="AW299" s="3">
        <v>27</v>
      </c>
    </row>
    <row r="300" spans="17:49" x14ac:dyDescent="0.35">
      <c r="Q300" t="s">
        <v>265</v>
      </c>
      <c r="R300" s="67">
        <v>176.7</v>
      </c>
      <c r="U300" s="3" t="str">
        <v>Executive Impressions 12" Wall Clock</v>
      </c>
      <c r="V300" s="1">
        <v>176.7</v>
      </c>
      <c r="W300" s="1">
        <v>0</v>
      </c>
      <c r="X300" s="1"/>
      <c r="Y300" s="1"/>
      <c r="Z300" s="1"/>
      <c r="AC300" s="3" t="str">
        <f t="shared" si="16"/>
        <v/>
      </c>
      <c r="AE300" s="1"/>
      <c r="AG300" s="1"/>
      <c r="AK300" t="s">
        <v>221</v>
      </c>
      <c r="AL300" s="67">
        <v>45.036000000000001</v>
      </c>
      <c r="AM300" s="67">
        <v>16.012799999999999</v>
      </c>
      <c r="AN300" s="55">
        <v>0.2</v>
      </c>
      <c r="AO300" s="69">
        <v>2</v>
      </c>
      <c r="AP300" s="69">
        <v>6</v>
      </c>
      <c r="AR300" s="3" t="str">
        <v>Document Clip Frames</v>
      </c>
      <c r="AS300" s="1">
        <v>45.036000000000001</v>
      </c>
      <c r="AT300" s="3">
        <v>16.012799999999999</v>
      </c>
      <c r="AU300" s="16">
        <v>0.2</v>
      </c>
      <c r="AV300" s="3">
        <v>2</v>
      </c>
      <c r="AW300" s="3">
        <v>6</v>
      </c>
    </row>
    <row r="301" spans="17:49" x14ac:dyDescent="0.35">
      <c r="Q301" t="s">
        <v>209</v>
      </c>
      <c r="R301" s="67">
        <v>175.93799999999999</v>
      </c>
      <c r="U301" s="3" t="str">
        <v>DAX Value U-Channel Document Frames, Easel Back</v>
      </c>
      <c r="V301" s="1">
        <v>175.93799999999999</v>
      </c>
      <c r="W301" s="1">
        <v>0</v>
      </c>
      <c r="X301" s="1"/>
      <c r="Y301" s="1"/>
      <c r="Z301" s="1"/>
      <c r="AC301" s="3" t="str">
        <f t="shared" si="16"/>
        <v/>
      </c>
      <c r="AE301" s="1"/>
      <c r="AG301" s="1"/>
      <c r="AK301" t="s">
        <v>225</v>
      </c>
      <c r="AL301" s="67">
        <v>75.36</v>
      </c>
      <c r="AM301" s="67">
        <v>28.636800000000001</v>
      </c>
      <c r="AN301" s="55">
        <v>0</v>
      </c>
      <c r="AO301" s="69">
        <v>2</v>
      </c>
      <c r="AP301" s="69">
        <v>12</v>
      </c>
      <c r="AR301" s="3" t="str">
        <v>Eldon 200 Class Desk Accessories, Black</v>
      </c>
      <c r="AS301" s="1">
        <v>75.36</v>
      </c>
      <c r="AT301" s="3">
        <v>28.636800000000001</v>
      </c>
      <c r="AU301" s="16">
        <v>0</v>
      </c>
      <c r="AV301" s="3">
        <v>2</v>
      </c>
      <c r="AW301" s="3">
        <v>12</v>
      </c>
    </row>
    <row r="302" spans="17:49" x14ac:dyDescent="0.35">
      <c r="Q302" t="s">
        <v>475</v>
      </c>
      <c r="R302" s="67">
        <v>175.78</v>
      </c>
      <c r="U302" s="3" t="str">
        <v>Tenex Chairmats For Use With Carpeted Floors</v>
      </c>
      <c r="V302" s="1">
        <v>175.78</v>
      </c>
      <c r="W302" s="1">
        <v>0</v>
      </c>
      <c r="X302" s="1"/>
      <c r="Y302" s="1"/>
      <c r="Z302" s="1"/>
      <c r="AC302" s="3" t="str">
        <f t="shared" si="16"/>
        <v/>
      </c>
      <c r="AE302" s="1"/>
      <c r="AG302" s="1"/>
      <c r="AK302" t="s">
        <v>226</v>
      </c>
      <c r="AL302" s="67">
        <v>135.648</v>
      </c>
      <c r="AM302" s="67">
        <v>44.588000000000001</v>
      </c>
      <c r="AN302" s="55">
        <v>0.60000000000000009</v>
      </c>
      <c r="AO302" s="69">
        <v>5</v>
      </c>
      <c r="AP302" s="69">
        <v>25</v>
      </c>
      <c r="AR302" s="3" t="str">
        <v>Eldon 200 Class Desk Accessories, Burgundy</v>
      </c>
      <c r="AS302" s="1">
        <v>135.648</v>
      </c>
      <c r="AT302" s="3">
        <v>44.588000000000001</v>
      </c>
      <c r="AU302" s="16">
        <v>0.60000000000000009</v>
      </c>
      <c r="AV302" s="3">
        <v>5</v>
      </c>
      <c r="AW302" s="3">
        <v>25</v>
      </c>
    </row>
    <row r="303" spans="17:49" x14ac:dyDescent="0.35">
      <c r="Q303" t="s">
        <v>200</v>
      </c>
      <c r="R303" s="67">
        <v>171.08799999999999</v>
      </c>
      <c r="U303" s="3" t="str">
        <v>DAX Copper Panel Document Frame, 5 x 7 Size</v>
      </c>
      <c r="V303" s="1">
        <v>171.08799999999999</v>
      </c>
      <c r="W303" s="1">
        <v>0</v>
      </c>
      <c r="X303" s="1"/>
      <c r="Y303" s="1"/>
      <c r="Z303" s="1"/>
      <c r="AC303" s="3" t="str">
        <f t="shared" si="16"/>
        <v/>
      </c>
      <c r="AE303" s="1"/>
      <c r="AG303" s="1"/>
      <c r="AK303" t="s">
        <v>227</v>
      </c>
      <c r="AL303" s="67">
        <v>138.16</v>
      </c>
      <c r="AM303" s="67">
        <v>58.027200000000001</v>
      </c>
      <c r="AN303" s="55">
        <v>0</v>
      </c>
      <c r="AO303" s="69">
        <v>4</v>
      </c>
      <c r="AP303" s="69">
        <v>22</v>
      </c>
      <c r="AR303" s="3" t="str">
        <v>Eldon 200 Class Desk Accessories, Smoke</v>
      </c>
      <c r="AS303" s="1">
        <v>138.16</v>
      </c>
      <c r="AT303" s="3">
        <v>58.027200000000001</v>
      </c>
      <c r="AU303" s="16">
        <v>0</v>
      </c>
      <c r="AV303" s="3">
        <v>4</v>
      </c>
      <c r="AW303" s="3">
        <v>22</v>
      </c>
    </row>
    <row r="304" spans="17:49" x14ac:dyDescent="0.35">
      <c r="Q304" t="s">
        <v>401</v>
      </c>
      <c r="R304" s="67">
        <v>170.62</v>
      </c>
      <c r="U304" s="3" t="str">
        <v>Nu-Dell Float Frame 11 x 14 1/2</v>
      </c>
      <c r="V304" s="1">
        <v>170.62</v>
      </c>
      <c r="W304" s="1">
        <v>0</v>
      </c>
      <c r="X304" s="1"/>
      <c r="Y304" s="1"/>
      <c r="Z304" s="1"/>
      <c r="AC304" s="3" t="str">
        <f t="shared" si="16"/>
        <v/>
      </c>
      <c r="AE304" s="1"/>
      <c r="AG304" s="1"/>
      <c r="AK304" t="s">
        <v>228</v>
      </c>
      <c r="AL304" s="67">
        <v>29.7</v>
      </c>
      <c r="AM304" s="67">
        <v>13.068</v>
      </c>
      <c r="AN304" s="55">
        <v>0</v>
      </c>
      <c r="AO304" s="69">
        <v>2</v>
      </c>
      <c r="AP304" s="69">
        <v>6</v>
      </c>
      <c r="AR304" s="3" t="str">
        <v>Eldon 300 Class Desk Accessories, Black</v>
      </c>
      <c r="AS304" s="1">
        <v>29.7</v>
      </c>
      <c r="AT304" s="3">
        <v>13.068</v>
      </c>
      <c r="AU304" s="16">
        <v>0</v>
      </c>
      <c r="AV304" s="3">
        <v>2</v>
      </c>
      <c r="AW304" s="3">
        <v>6</v>
      </c>
    </row>
    <row r="305" spans="17:49" x14ac:dyDescent="0.35">
      <c r="Q305" t="s">
        <v>259</v>
      </c>
      <c r="R305" s="67">
        <v>168.84</v>
      </c>
      <c r="U305" s="3" t="str">
        <v>Electrix 20W Halogen Replacement Bulb for Zoom-In Desk Lamp</v>
      </c>
      <c r="V305" s="1">
        <v>168.84</v>
      </c>
      <c r="W305" s="1">
        <v>0</v>
      </c>
      <c r="X305" s="1"/>
      <c r="Y305" s="1"/>
      <c r="Z305" s="1"/>
      <c r="AC305" s="3" t="str">
        <f t="shared" si="16"/>
        <v/>
      </c>
      <c r="AE305" s="1"/>
      <c r="AG305" s="1"/>
      <c r="AK305" t="s">
        <v>230</v>
      </c>
      <c r="AL305" s="67">
        <v>197.94800000000001</v>
      </c>
      <c r="AM305" s="67">
        <v>60.470700000000001</v>
      </c>
      <c r="AN305" s="55">
        <v>0.4</v>
      </c>
      <c r="AO305" s="69">
        <v>6</v>
      </c>
      <c r="AP305" s="69">
        <v>17</v>
      </c>
      <c r="AR305" s="3" t="str">
        <v>Eldon 500 Class Desk Accessories</v>
      </c>
      <c r="AS305" s="1">
        <v>197.94800000000001</v>
      </c>
      <c r="AT305" s="3">
        <v>60.470700000000001</v>
      </c>
      <c r="AU305" s="16">
        <v>0.4</v>
      </c>
      <c r="AV305" s="3">
        <v>6</v>
      </c>
      <c r="AW305" s="3">
        <v>17</v>
      </c>
    </row>
    <row r="306" spans="17:49" x14ac:dyDescent="0.35">
      <c r="Q306" t="s">
        <v>196</v>
      </c>
      <c r="R306" s="67">
        <v>168.744</v>
      </c>
      <c r="U306" s="3" t="str">
        <v>DAX Charcoal/Nickel-Tone Document Frame, 5 x 7</v>
      </c>
      <c r="V306" s="1">
        <v>168.744</v>
      </c>
      <c r="W306" s="1">
        <v>0</v>
      </c>
      <c r="X306" s="1"/>
      <c r="Y306" s="1"/>
      <c r="Z306" s="1"/>
      <c r="AC306" s="3" t="str">
        <f t="shared" si="16"/>
        <v/>
      </c>
      <c r="AE306" s="1"/>
      <c r="AG306" s="1"/>
      <c r="AK306" t="s">
        <v>238</v>
      </c>
      <c r="AL306" s="67">
        <v>331.76</v>
      </c>
      <c r="AM306" s="67">
        <v>39.811199999999999</v>
      </c>
      <c r="AN306" s="55">
        <v>0</v>
      </c>
      <c r="AO306" s="69">
        <v>2</v>
      </c>
      <c r="AP306" s="69">
        <v>8</v>
      </c>
      <c r="AR306" s="3" t="str">
        <v>Eldon Econocleat Chair Mats for Low Pile Carpets</v>
      </c>
      <c r="AS306" s="1">
        <v>331.76</v>
      </c>
      <c r="AT306" s="3">
        <v>39.811199999999999</v>
      </c>
      <c r="AU306" s="16">
        <v>0</v>
      </c>
      <c r="AV306" s="3">
        <v>2</v>
      </c>
      <c r="AW306" s="3">
        <v>8</v>
      </c>
    </row>
    <row r="307" spans="17:49" x14ac:dyDescent="0.35">
      <c r="Q307" t="s">
        <v>490</v>
      </c>
      <c r="R307" s="67">
        <v>167.93</v>
      </c>
      <c r="U307" s="3" t="str">
        <v>Westinghouse Floor Lamp with Metal Mesh Shade, Black</v>
      </c>
      <c r="V307" s="1">
        <v>167.93</v>
      </c>
      <c r="W307" s="1">
        <v>0</v>
      </c>
      <c r="X307" s="1"/>
      <c r="Y307" s="1"/>
      <c r="Z307" s="1"/>
      <c r="AC307" s="3" t="str">
        <f t="shared" si="16"/>
        <v/>
      </c>
      <c r="AE307" s="1"/>
      <c r="AG307" s="1"/>
      <c r="AK307" t="s">
        <v>245</v>
      </c>
      <c r="AL307" s="67">
        <v>121.29600000000001</v>
      </c>
      <c r="AM307" s="67">
        <v>21.7056</v>
      </c>
      <c r="AN307" s="55">
        <v>0.4</v>
      </c>
      <c r="AO307" s="69">
        <v>3</v>
      </c>
      <c r="AP307" s="69">
        <v>13</v>
      </c>
      <c r="AR307" s="3" t="str">
        <v>Eldon Expressions Punched Metal &amp; Wood Desk Accessories, Pewter &amp; Cherry</v>
      </c>
      <c r="AS307" s="1">
        <v>121.29600000000001</v>
      </c>
      <c r="AT307" s="3">
        <v>21.7056</v>
      </c>
      <c r="AU307" s="16">
        <v>0.4</v>
      </c>
      <c r="AV307" s="3">
        <v>3</v>
      </c>
      <c r="AW307" s="3">
        <v>13</v>
      </c>
    </row>
    <row r="308" spans="17:49" x14ac:dyDescent="0.35">
      <c r="Q308" t="s">
        <v>283</v>
      </c>
      <c r="R308" s="67">
        <v>163.33199999999999</v>
      </c>
      <c r="U308" s="3" t="str">
        <v>GE General Use Halogen Bulbs, 100 Watts, 1 Bulb per Pack</v>
      </c>
      <c r="V308" s="1">
        <v>163.33199999999999</v>
      </c>
      <c r="W308" s="1">
        <v>0</v>
      </c>
      <c r="X308" s="1"/>
      <c r="Y308" s="1"/>
      <c r="Z308" s="1"/>
      <c r="AC308" s="3" t="str">
        <f t="shared" si="16"/>
        <v/>
      </c>
      <c r="AE308" s="1"/>
      <c r="AG308" s="1"/>
      <c r="AK308" t="s">
        <v>246</v>
      </c>
      <c r="AL308" s="67">
        <v>160.54</v>
      </c>
      <c r="AM308" s="67">
        <v>46.556600000000003</v>
      </c>
      <c r="AN308" s="55">
        <v>0</v>
      </c>
      <c r="AO308" s="69">
        <v>5</v>
      </c>
      <c r="AP308" s="69">
        <v>23</v>
      </c>
      <c r="AR308" s="3" t="str">
        <v>Eldon Expressions Wood and Plastic Desk Accessories, Cherry Wood</v>
      </c>
      <c r="AS308" s="1">
        <v>160.54</v>
      </c>
      <c r="AT308" s="3">
        <v>46.556600000000003</v>
      </c>
      <c r="AU308" s="16">
        <v>0</v>
      </c>
      <c r="AV308" s="3">
        <v>5</v>
      </c>
      <c r="AW308" s="3">
        <v>23</v>
      </c>
    </row>
    <row r="309" spans="17:49" x14ac:dyDescent="0.35">
      <c r="Q309" t="s">
        <v>204</v>
      </c>
      <c r="R309" s="67">
        <v>161.91999999999999</v>
      </c>
      <c r="U309" s="3" t="str">
        <v>DAX Metal Frame, Desktop, Stepped-Edge</v>
      </c>
      <c r="V309" s="1">
        <v>161.91999999999999</v>
      </c>
      <c r="W309" s="1">
        <v>0</v>
      </c>
      <c r="X309" s="1"/>
      <c r="Y309" s="1"/>
      <c r="Z309" s="1"/>
      <c r="AC309" s="3" t="str">
        <f t="shared" si="16"/>
        <v/>
      </c>
      <c r="AE309" s="1"/>
      <c r="AG309" s="1"/>
      <c r="AK309" t="s">
        <v>247</v>
      </c>
      <c r="AL309" s="67">
        <v>149.69999999999999</v>
      </c>
      <c r="AM309" s="67">
        <v>41.915999999999997</v>
      </c>
      <c r="AN309" s="55">
        <v>0</v>
      </c>
      <c r="AO309" s="69">
        <v>5</v>
      </c>
      <c r="AP309" s="69">
        <v>15</v>
      </c>
      <c r="AR309" s="3" t="str">
        <v>Eldon Expressions Wood and Plastic Desk Accessories, Oak</v>
      </c>
      <c r="AS309" s="1">
        <v>149.69999999999999</v>
      </c>
      <c r="AT309" s="3">
        <v>41.915999999999997</v>
      </c>
      <c r="AU309" s="16">
        <v>0</v>
      </c>
      <c r="AV309" s="3">
        <v>5</v>
      </c>
      <c r="AW309" s="3">
        <v>15</v>
      </c>
    </row>
    <row r="310" spans="17:49" x14ac:dyDescent="0.35">
      <c r="Q310" t="s">
        <v>246</v>
      </c>
      <c r="R310" s="67">
        <v>160.54</v>
      </c>
      <c r="U310" s="3" t="str">
        <v>Eldon Expressions Wood and Plastic Desk Accessories, Cherry Wood</v>
      </c>
      <c r="V310" s="1">
        <v>160.54</v>
      </c>
      <c r="W310" s="1">
        <v>0</v>
      </c>
      <c r="X310" s="1"/>
      <c r="Y310" s="1"/>
      <c r="Z310" s="1"/>
      <c r="AC310" s="3" t="str">
        <f t="shared" si="16"/>
        <v/>
      </c>
      <c r="AE310" s="1"/>
      <c r="AG310" s="1"/>
      <c r="AK310" t="s">
        <v>250</v>
      </c>
      <c r="AL310" s="67">
        <v>48.851999999999997</v>
      </c>
      <c r="AM310" s="67">
        <v>17.056799999999999</v>
      </c>
      <c r="AN310" s="55">
        <v>0.2</v>
      </c>
      <c r="AO310" s="69">
        <v>5</v>
      </c>
      <c r="AP310" s="69">
        <v>12</v>
      </c>
      <c r="AR310" s="3" t="str">
        <v>Eldon Image Series Black Desk Accessories</v>
      </c>
      <c r="AS310" s="1">
        <v>48.851999999999997</v>
      </c>
      <c r="AT310" s="3">
        <v>17.056799999999999</v>
      </c>
      <c r="AU310" s="16">
        <v>0.2</v>
      </c>
      <c r="AV310" s="3">
        <v>5</v>
      </c>
      <c r="AW310" s="3">
        <v>12</v>
      </c>
    </row>
    <row r="311" spans="17:49" x14ac:dyDescent="0.35">
      <c r="Q311" t="s">
        <v>211</v>
      </c>
      <c r="R311" s="67">
        <v>159.268</v>
      </c>
      <c r="U311" s="3" t="str">
        <v>DAX Wood Document Frame.</v>
      </c>
      <c r="V311" s="1">
        <v>159.268</v>
      </c>
      <c r="W311" s="1">
        <v>0</v>
      </c>
      <c r="X311" s="1"/>
      <c r="Y311" s="1"/>
      <c r="Z311" s="1"/>
      <c r="AC311" s="3" t="str">
        <f t="shared" si="16"/>
        <v/>
      </c>
      <c r="AE311" s="1"/>
      <c r="AG311" s="1"/>
      <c r="AK311" t="s">
        <v>253</v>
      </c>
      <c r="AL311" s="67">
        <v>37.463999999999999</v>
      </c>
      <c r="AM311" s="67">
        <v>13.736800000000001</v>
      </c>
      <c r="AN311" s="55">
        <v>0.4</v>
      </c>
      <c r="AO311" s="69">
        <v>4</v>
      </c>
      <c r="AP311" s="69">
        <v>19</v>
      </c>
      <c r="AR311" s="3" t="str">
        <v>Eldon Pizzaz Desk Accessories</v>
      </c>
      <c r="AS311" s="1">
        <v>37.463999999999999</v>
      </c>
      <c r="AT311" s="3">
        <v>13.736800000000001</v>
      </c>
      <c r="AU311" s="16">
        <v>0.4</v>
      </c>
      <c r="AV311" s="3">
        <v>4</v>
      </c>
      <c r="AW311" s="3">
        <v>19</v>
      </c>
    </row>
    <row r="312" spans="17:49" x14ac:dyDescent="0.35">
      <c r="Q312" t="s">
        <v>229</v>
      </c>
      <c r="R312" s="67">
        <v>159.25</v>
      </c>
      <c r="U312" s="3" t="str">
        <v>Eldon 400 Class Desk Accessories, Black Carbon</v>
      </c>
      <c r="V312" s="1">
        <v>159.25</v>
      </c>
      <c r="W312" s="1">
        <v>0</v>
      </c>
      <c r="X312" s="1"/>
      <c r="Y312" s="1"/>
      <c r="Z312" s="1"/>
      <c r="AC312" s="3" t="str">
        <f t="shared" si="16"/>
        <v/>
      </c>
      <c r="AE312" s="1"/>
      <c r="AG312" s="1"/>
      <c r="AK312" t="s">
        <v>254</v>
      </c>
      <c r="AL312" s="67">
        <v>775.61199999999997</v>
      </c>
      <c r="AM312" s="67">
        <v>135.93199999999999</v>
      </c>
      <c r="AN312" s="55">
        <v>0.4</v>
      </c>
      <c r="AO312" s="69">
        <v>6</v>
      </c>
      <c r="AP312" s="69">
        <v>20</v>
      </c>
      <c r="AR312" s="3" t="str">
        <v>Eldon Radial Chair Mat for Low to Medium Pile Carpets</v>
      </c>
      <c r="AS312" s="1">
        <v>775.61199999999997</v>
      </c>
      <c r="AT312" s="3">
        <v>135.93199999999999</v>
      </c>
      <c r="AU312" s="16">
        <v>0.4</v>
      </c>
      <c r="AV312" s="3">
        <v>6</v>
      </c>
      <c r="AW312" s="3">
        <v>20</v>
      </c>
    </row>
    <row r="313" spans="17:49" x14ac:dyDescent="0.35">
      <c r="Q313" t="s">
        <v>486</v>
      </c>
      <c r="R313" s="67">
        <v>158.24</v>
      </c>
      <c r="U313" s="3" t="str">
        <v>Ultra Door Kickplate, 8"H x 34"W</v>
      </c>
      <c r="V313" s="1">
        <v>158.24</v>
      </c>
      <c r="W313" s="1">
        <v>0</v>
      </c>
      <c r="X313" s="1"/>
      <c r="Y313" s="1"/>
      <c r="Z313" s="1"/>
      <c r="AC313" s="3" t="str">
        <f t="shared" si="16"/>
        <v/>
      </c>
      <c r="AE313" s="1"/>
      <c r="AG313" s="1"/>
      <c r="AK313" t="s">
        <v>256</v>
      </c>
      <c r="AL313" s="67">
        <v>33.756</v>
      </c>
      <c r="AM313" s="67">
        <v>8.9087999999999994</v>
      </c>
      <c r="AN313" s="55">
        <v>0.4</v>
      </c>
      <c r="AO313" s="69">
        <v>5</v>
      </c>
      <c r="AP313" s="69">
        <v>21</v>
      </c>
      <c r="AR313" s="3" t="str">
        <v>Eldon Regeneration Recycled Desk Accessories, Smoke</v>
      </c>
      <c r="AS313" s="1">
        <v>33.756</v>
      </c>
      <c r="AT313" s="3">
        <v>8.9087999999999994</v>
      </c>
      <c r="AU313" s="16">
        <v>0.4</v>
      </c>
      <c r="AV313" s="3">
        <v>5</v>
      </c>
      <c r="AW313" s="3">
        <v>21</v>
      </c>
    </row>
    <row r="314" spans="17:49" x14ac:dyDescent="0.35">
      <c r="Q314" t="s">
        <v>136</v>
      </c>
      <c r="R314" s="67">
        <v>156.80000000000001</v>
      </c>
      <c r="U314" s="3" t="str">
        <v>Artistic Insta-Plaque</v>
      </c>
      <c r="V314" s="1">
        <v>156.80000000000001</v>
      </c>
      <c r="W314" s="1">
        <v>0</v>
      </c>
      <c r="X314" s="1"/>
      <c r="Y314" s="1"/>
      <c r="Z314" s="1"/>
      <c r="AC314" s="3" t="str">
        <f t="shared" si="16"/>
        <v/>
      </c>
      <c r="AE314" s="1"/>
      <c r="AG314" s="1"/>
      <c r="AK314" t="s">
        <v>257</v>
      </c>
      <c r="AL314" s="67">
        <v>155.38</v>
      </c>
      <c r="AM314" s="67">
        <v>52.8292</v>
      </c>
      <c r="AN314" s="55">
        <v>0</v>
      </c>
      <c r="AO314" s="69">
        <v>5</v>
      </c>
      <c r="AP314" s="69">
        <v>17</v>
      </c>
      <c r="AR314" s="3" t="str">
        <v>Eldon Stackable Tray, Side-Load, Legal, Smoke</v>
      </c>
      <c r="AS314" s="1">
        <v>155.38</v>
      </c>
      <c r="AT314" s="3">
        <v>52.8292</v>
      </c>
      <c r="AU314" s="16">
        <v>0</v>
      </c>
      <c r="AV314" s="3">
        <v>5</v>
      </c>
      <c r="AW314" s="3">
        <v>17</v>
      </c>
    </row>
    <row r="315" spans="17:49" x14ac:dyDescent="0.35">
      <c r="Q315" t="s">
        <v>244</v>
      </c>
      <c r="R315" s="67">
        <v>155.708</v>
      </c>
      <c r="U315" s="3" t="str">
        <v>Eldon Expressions Punched Metal &amp; Wood Desk Accessories, Black &amp; Cherry</v>
      </c>
      <c r="V315" s="1">
        <v>155.708</v>
      </c>
      <c r="W315" s="1">
        <v>0</v>
      </c>
      <c r="X315" s="1"/>
      <c r="Y315" s="1"/>
      <c r="Z315" s="1"/>
      <c r="AC315" s="3" t="str">
        <f t="shared" si="16"/>
        <v/>
      </c>
      <c r="AE315" s="1"/>
      <c r="AG315" s="1"/>
      <c r="AK315" t="s">
        <v>261</v>
      </c>
      <c r="AL315" s="67">
        <v>463.79599999999999</v>
      </c>
      <c r="AM315" s="67">
        <v>73.023200000000003</v>
      </c>
      <c r="AN315" s="55">
        <v>0.2</v>
      </c>
      <c r="AO315" s="69">
        <v>2</v>
      </c>
      <c r="AP315" s="69">
        <v>11</v>
      </c>
      <c r="AR315" s="3" t="str">
        <v>Electrix Fluorescent Magnifier Lamps &amp; Weighted Base</v>
      </c>
      <c r="AS315" s="1">
        <v>463.79599999999999</v>
      </c>
      <c r="AT315" s="3">
        <v>73.023200000000003</v>
      </c>
      <c r="AU315" s="16">
        <v>0.2</v>
      </c>
      <c r="AV315" s="3">
        <v>2</v>
      </c>
      <c r="AW315" s="3">
        <v>11</v>
      </c>
    </row>
    <row r="316" spans="17:49" x14ac:dyDescent="0.35">
      <c r="Q316" t="s">
        <v>257</v>
      </c>
      <c r="R316" s="67">
        <v>155.38</v>
      </c>
      <c r="U316" s="3" t="str">
        <v>Eldon Stackable Tray, Side-Load, Legal, Smoke</v>
      </c>
      <c r="V316" s="1">
        <v>155.38</v>
      </c>
      <c r="W316" s="1">
        <v>0</v>
      </c>
      <c r="X316" s="1"/>
      <c r="Y316" s="1"/>
      <c r="Z316" s="1"/>
      <c r="AC316" s="3" t="str">
        <f t="shared" si="16"/>
        <v/>
      </c>
      <c r="AE316" s="1"/>
      <c r="AG316" s="1"/>
      <c r="AK316" t="s">
        <v>266</v>
      </c>
      <c r="AL316" s="67">
        <v>253.8</v>
      </c>
      <c r="AM316" s="67">
        <v>72.332999999999998</v>
      </c>
      <c r="AN316" s="55">
        <v>0.2</v>
      </c>
      <c r="AO316" s="69">
        <v>3</v>
      </c>
      <c r="AP316" s="69">
        <v>11</v>
      </c>
      <c r="AR316" s="3" t="str">
        <v>Executive Impressions 13" Chairman Wall Clock</v>
      </c>
      <c r="AS316" s="1">
        <v>253.8</v>
      </c>
      <c r="AT316" s="3">
        <v>72.332999999999998</v>
      </c>
      <c r="AU316" s="16">
        <v>0.2</v>
      </c>
      <c r="AV316" s="3">
        <v>3</v>
      </c>
      <c r="AW316" s="3">
        <v>11</v>
      </c>
    </row>
    <row r="317" spans="17:49" x14ac:dyDescent="0.35">
      <c r="Q317" t="s">
        <v>392</v>
      </c>
      <c r="R317" s="67">
        <v>154.33600000000001</v>
      </c>
      <c r="U317" s="3" t="str">
        <v>Master Caster Door Stop, Large Neon Orange</v>
      </c>
      <c r="V317" s="1">
        <v>154.33600000000001</v>
      </c>
      <c r="W317" s="1">
        <v>0</v>
      </c>
      <c r="X317" s="1"/>
      <c r="Y317" s="1"/>
      <c r="Z317" s="1"/>
      <c r="AC317" s="3" t="str">
        <f t="shared" si="16"/>
        <v/>
      </c>
      <c r="AE317" s="1"/>
      <c r="AG317" s="1"/>
      <c r="AK317" t="s">
        <v>268</v>
      </c>
      <c r="AL317" s="67">
        <v>56.1</v>
      </c>
      <c r="AM317" s="67">
        <v>21.318000000000001</v>
      </c>
      <c r="AN317" s="55">
        <v>0</v>
      </c>
      <c r="AO317" s="69">
        <v>2</v>
      </c>
      <c r="AP317" s="69">
        <v>3</v>
      </c>
      <c r="AR317" s="3" t="str">
        <v>Executive Impressions 13-1/2" Indoor/Outdoor Wall Clock</v>
      </c>
      <c r="AS317" s="1">
        <v>56.1</v>
      </c>
      <c r="AT317" s="3">
        <v>21.318000000000001</v>
      </c>
      <c r="AU317" s="16">
        <v>0</v>
      </c>
      <c r="AV317" s="3">
        <v>2</v>
      </c>
      <c r="AW317" s="3">
        <v>3</v>
      </c>
    </row>
    <row r="318" spans="17:49" x14ac:dyDescent="0.35">
      <c r="Q318" t="s">
        <v>388</v>
      </c>
      <c r="R318" s="67">
        <v>152.06399999999999</v>
      </c>
      <c r="U318" s="3" t="str">
        <v>Master Big Foot Doorstop, Beige</v>
      </c>
      <c r="V318" s="1">
        <v>152.06399999999999</v>
      </c>
      <c r="W318" s="1">
        <v>0</v>
      </c>
      <c r="X318" s="1"/>
      <c r="Y318" s="1"/>
      <c r="Z318" s="1"/>
      <c r="AC318" s="3" t="str">
        <f t="shared" si="16"/>
        <v/>
      </c>
      <c r="AE318" s="1"/>
      <c r="AG318" s="1"/>
      <c r="AK318" t="s">
        <v>269</v>
      </c>
      <c r="AL318" s="67">
        <v>377.91</v>
      </c>
      <c r="AM318" s="67">
        <v>166.28039999999999</v>
      </c>
      <c r="AN318" s="55">
        <v>0</v>
      </c>
      <c r="AO318" s="69">
        <v>4</v>
      </c>
      <c r="AP318" s="69">
        <v>17</v>
      </c>
      <c r="AR318" s="3" t="str">
        <v>Executive Impressions 14"</v>
      </c>
      <c r="AS318" s="1">
        <v>377.91</v>
      </c>
      <c r="AT318" s="3">
        <v>166.28039999999999</v>
      </c>
      <c r="AU318" s="16">
        <v>0</v>
      </c>
      <c r="AV318" s="3">
        <v>4</v>
      </c>
      <c r="AW318" s="3">
        <v>17</v>
      </c>
    </row>
    <row r="319" spans="17:49" x14ac:dyDescent="0.35">
      <c r="Q319" t="s">
        <v>403</v>
      </c>
      <c r="R319" s="67">
        <v>151.65600000000001</v>
      </c>
      <c r="U319" s="3" t="str">
        <v>Nu-Dell Oak Frame</v>
      </c>
      <c r="V319" s="1">
        <v>151.65600000000001</v>
      </c>
      <c r="W319" s="1">
        <v>0</v>
      </c>
      <c r="X319" s="1"/>
      <c r="Y319" s="1"/>
      <c r="Z319" s="1"/>
      <c r="AC319" s="3" t="str">
        <f t="shared" si="16"/>
        <v/>
      </c>
      <c r="AE319" s="1"/>
      <c r="AG319" s="1"/>
      <c r="AK319" t="s">
        <v>270</v>
      </c>
      <c r="AL319" s="67">
        <v>346.78800000000001</v>
      </c>
      <c r="AM319" s="67">
        <v>93.588300000000004</v>
      </c>
      <c r="AN319" s="55">
        <v>0.4</v>
      </c>
      <c r="AO319" s="69">
        <v>7</v>
      </c>
      <c r="AP319" s="69">
        <v>17</v>
      </c>
      <c r="AR319" s="3" t="str">
        <v>Executive Impressions 14" Contract Wall Clock</v>
      </c>
      <c r="AS319" s="1">
        <v>346.78800000000001</v>
      </c>
      <c r="AT319" s="3">
        <v>93.588300000000004</v>
      </c>
      <c r="AU319" s="16">
        <v>0.4</v>
      </c>
      <c r="AV319" s="3">
        <v>7</v>
      </c>
      <c r="AW319" s="3">
        <v>17</v>
      </c>
    </row>
    <row r="320" spans="17:49" x14ac:dyDescent="0.35">
      <c r="Q320" t="s">
        <v>247</v>
      </c>
      <c r="R320" s="67">
        <v>149.69999999999999</v>
      </c>
      <c r="U320" s="3" t="str">
        <v>Eldon Expressions Wood and Plastic Desk Accessories, Oak</v>
      </c>
      <c r="V320" s="1">
        <v>149.69999999999999</v>
      </c>
      <c r="W320" s="1">
        <v>0</v>
      </c>
      <c r="X320" s="1"/>
      <c r="Y320" s="1"/>
      <c r="Z320" s="1"/>
      <c r="AC320" s="3" t="str">
        <f t="shared" si="16"/>
        <v/>
      </c>
      <c r="AE320" s="1"/>
      <c r="AG320" s="1"/>
      <c r="AK320" t="s">
        <v>272</v>
      </c>
      <c r="AL320" s="67">
        <v>308.99200000000002</v>
      </c>
      <c r="AM320" s="67">
        <v>94.515199999999993</v>
      </c>
      <c r="AN320" s="55">
        <v>0.8</v>
      </c>
      <c r="AO320" s="69">
        <v>6</v>
      </c>
      <c r="AP320" s="69">
        <v>16</v>
      </c>
      <c r="AR320" s="3" t="str">
        <v>Executive Impressions 14" Two-Color Numerals Wall Clock</v>
      </c>
      <c r="AS320" s="1">
        <v>308.99200000000002</v>
      </c>
      <c r="AT320" s="3">
        <v>94.515199999999993</v>
      </c>
      <c r="AU320" s="16">
        <v>0.8</v>
      </c>
      <c r="AV320" s="3">
        <v>6</v>
      </c>
      <c r="AW320" s="3">
        <v>16</v>
      </c>
    </row>
    <row r="321" spans="17:49" x14ac:dyDescent="0.35">
      <c r="Q321" t="s">
        <v>488</v>
      </c>
      <c r="R321" s="67">
        <v>149.26400000000001</v>
      </c>
      <c r="U321" s="3" t="str">
        <v>Ultra Door Push Plate</v>
      </c>
      <c r="V321" s="1">
        <v>149.26400000000001</v>
      </c>
      <c r="W321" s="1">
        <v>0</v>
      </c>
      <c r="X321" s="1"/>
      <c r="Y321" s="1"/>
      <c r="Z321" s="1"/>
      <c r="AC321" s="3" t="str">
        <f t="shared" si="16"/>
        <v/>
      </c>
      <c r="AE321" s="1"/>
      <c r="AG321" s="1"/>
      <c r="AK321" t="s">
        <v>274</v>
      </c>
      <c r="AL321" s="67">
        <v>66.56</v>
      </c>
      <c r="AM321" s="67">
        <v>18.512</v>
      </c>
      <c r="AN321" s="55">
        <v>0.2</v>
      </c>
      <c r="AO321" s="69">
        <v>2</v>
      </c>
      <c r="AP321" s="69">
        <v>7</v>
      </c>
      <c r="AR321" s="3" t="str">
        <v>Executive Impressions 8-1/2" Career Panel/Partition Cubicle Clock</v>
      </c>
      <c r="AS321" s="1">
        <v>66.56</v>
      </c>
      <c r="AT321" s="3">
        <v>18.512</v>
      </c>
      <c r="AU321" s="16">
        <v>0.2</v>
      </c>
      <c r="AV321" s="3">
        <v>2</v>
      </c>
      <c r="AW321" s="3">
        <v>7</v>
      </c>
    </row>
    <row r="322" spans="17:49" x14ac:dyDescent="0.35">
      <c r="Q322" t="s">
        <v>482</v>
      </c>
      <c r="R322" s="67">
        <v>146.114</v>
      </c>
      <c r="U322" s="3" t="str">
        <v>Tensor Brushed Steel Torchiere Floor Lamp</v>
      </c>
      <c r="V322" s="1">
        <v>146.114</v>
      </c>
      <c r="W322" s="1">
        <v>0</v>
      </c>
      <c r="X322" s="1"/>
      <c r="Y322" s="1"/>
      <c r="Z322" s="1"/>
      <c r="AC322" s="3" t="str">
        <f t="shared" si="16"/>
        <v/>
      </c>
      <c r="AE322" s="1"/>
      <c r="AG322" s="1"/>
      <c r="AK322" t="s">
        <v>280</v>
      </c>
      <c r="AL322" s="67">
        <v>98.867999999999995</v>
      </c>
      <c r="AM322" s="67">
        <v>42.243600000000001</v>
      </c>
      <c r="AN322" s="55">
        <v>0.2</v>
      </c>
      <c r="AO322" s="69">
        <v>3</v>
      </c>
      <c r="AP322" s="69">
        <v>7</v>
      </c>
      <c r="AR322" s="3" t="str">
        <v>GE 4 Foot Flourescent Tube, 40 Watt</v>
      </c>
      <c r="AS322" s="1">
        <v>98.867999999999995</v>
      </c>
      <c r="AT322" s="3">
        <v>42.243600000000001</v>
      </c>
      <c r="AU322" s="16">
        <v>0.2</v>
      </c>
      <c r="AV322" s="3">
        <v>3</v>
      </c>
      <c r="AW322" s="3">
        <v>7</v>
      </c>
    </row>
    <row r="323" spans="17:49" x14ac:dyDescent="0.35">
      <c r="Q323" t="s">
        <v>202</v>
      </c>
      <c r="R323" s="67">
        <v>145.69</v>
      </c>
      <c r="U323" s="3" t="str">
        <v>DAX Cubicle Frames, 8-1/2 x 11</v>
      </c>
      <c r="V323" s="1">
        <v>145.69</v>
      </c>
      <c r="W323" s="1">
        <v>0</v>
      </c>
      <c r="X323" s="1"/>
      <c r="Y323" s="1"/>
      <c r="Z323" s="1"/>
      <c r="AC323" s="3" t="str">
        <f t="shared" si="16"/>
        <v/>
      </c>
      <c r="AE323" s="1"/>
      <c r="AG323" s="1"/>
      <c r="AK323" t="s">
        <v>281</v>
      </c>
      <c r="AL323" s="67">
        <v>2699.056</v>
      </c>
      <c r="AM323" s="67">
        <v>1260.221</v>
      </c>
      <c r="AN323" s="55">
        <v>0.60000000000000009</v>
      </c>
      <c r="AO323" s="69">
        <v>8</v>
      </c>
      <c r="AP323" s="69">
        <v>29</v>
      </c>
      <c r="AR323" s="3" t="str">
        <v>GE 48" Fluorescent Tube, Cool White Energy Saver, 34 Watts, 30/Box</v>
      </c>
      <c r="AS323" s="1">
        <v>2699.056</v>
      </c>
      <c r="AT323" s="3">
        <v>1260.221</v>
      </c>
      <c r="AU323" s="16">
        <v>0.60000000000000009</v>
      </c>
      <c r="AV323" s="3">
        <v>8</v>
      </c>
      <c r="AW323" s="3">
        <v>29</v>
      </c>
    </row>
    <row r="324" spans="17:49" x14ac:dyDescent="0.35">
      <c r="Q324" t="s">
        <v>468</v>
      </c>
      <c r="R324" s="67">
        <v>143.928</v>
      </c>
      <c r="U324" s="3" t="str">
        <v>Telescoping Adjustable Floor Lamp</v>
      </c>
      <c r="V324" s="1">
        <v>143.928</v>
      </c>
      <c r="W324" s="1">
        <v>0</v>
      </c>
      <c r="X324" s="1"/>
      <c r="Y324" s="1"/>
      <c r="Z324" s="1"/>
      <c r="AC324" s="3" t="str">
        <f t="shared" si="16"/>
        <v/>
      </c>
      <c r="AE324" s="1"/>
      <c r="AG324" s="1"/>
      <c r="AK324" t="s">
        <v>284</v>
      </c>
      <c r="AL324" s="67">
        <v>3447.84</v>
      </c>
      <c r="AM324" s="67">
        <v>206.87039999999999</v>
      </c>
      <c r="AN324" s="55">
        <v>0</v>
      </c>
      <c r="AO324" s="69">
        <v>2</v>
      </c>
      <c r="AP324" s="69">
        <v>8</v>
      </c>
      <c r="AR324" s="3" t="str">
        <v>Global Adaptabilites Bookcase, Cherry/Storm Gray Finish</v>
      </c>
      <c r="AS324" s="1">
        <v>3447.84</v>
      </c>
      <c r="AT324" s="3">
        <v>206.87039999999999</v>
      </c>
      <c r="AU324" s="16">
        <v>0</v>
      </c>
      <c r="AV324" s="3">
        <v>2</v>
      </c>
      <c r="AW324" s="3">
        <v>8</v>
      </c>
    </row>
    <row r="325" spans="17:49" x14ac:dyDescent="0.35">
      <c r="Q325" t="s">
        <v>227</v>
      </c>
      <c r="R325" s="67">
        <v>138.16</v>
      </c>
      <c r="U325" s="3" t="str">
        <v>Eldon 200 Class Desk Accessories, Smoke</v>
      </c>
      <c r="V325" s="1">
        <v>138.16</v>
      </c>
      <c r="W325" s="1">
        <v>0</v>
      </c>
      <c r="X325" s="1"/>
      <c r="Y325" s="1"/>
      <c r="Z325" s="1"/>
      <c r="AC325" s="3" t="str">
        <f t="shared" ref="AC325:AC383" si="17">IF(Z325=$AE$26,$AE$27,"")</f>
        <v/>
      </c>
      <c r="AE325" s="1"/>
      <c r="AG325" s="1"/>
      <c r="AK325" t="s">
        <v>285</v>
      </c>
      <c r="AL325" s="67">
        <v>3540.348</v>
      </c>
      <c r="AM325" s="67">
        <v>480.47579999999999</v>
      </c>
      <c r="AN325" s="55">
        <v>0.60000000000000009</v>
      </c>
      <c r="AO325" s="69">
        <v>4</v>
      </c>
      <c r="AP325" s="69">
        <v>14</v>
      </c>
      <c r="AR325" s="3" t="str">
        <v>Global Adaptabilities Conference Tables</v>
      </c>
      <c r="AS325" s="1">
        <v>3540.348</v>
      </c>
      <c r="AT325" s="3">
        <v>480.47579999999999</v>
      </c>
      <c r="AU325" s="16">
        <v>0.60000000000000009</v>
      </c>
      <c r="AV325" s="3">
        <v>4</v>
      </c>
      <c r="AW325" s="3">
        <v>14</v>
      </c>
    </row>
    <row r="326" spans="17:49" x14ac:dyDescent="0.35">
      <c r="Q326" t="s">
        <v>184</v>
      </c>
      <c r="R326" s="67">
        <v>137.16999999999999</v>
      </c>
      <c r="U326" s="3" t="str">
        <v>C-Line Cubicle Keepers Polyproplyene Holder With Velcro Backings</v>
      </c>
      <c r="V326" s="1">
        <v>137.16999999999999</v>
      </c>
      <c r="W326" s="1">
        <v>0</v>
      </c>
      <c r="X326" s="1"/>
      <c r="Y326" s="1"/>
      <c r="Z326" s="1"/>
      <c r="AC326" s="3" t="str">
        <f t="shared" si="17"/>
        <v/>
      </c>
      <c r="AE326" s="1"/>
      <c r="AG326" s="1"/>
      <c r="AK326" t="s">
        <v>289</v>
      </c>
      <c r="AL326" s="67">
        <v>6084.1440000000002</v>
      </c>
      <c r="AM326" s="67">
        <v>823.89449999999999</v>
      </c>
      <c r="AN326" s="55">
        <v>0.8</v>
      </c>
      <c r="AO326" s="69">
        <v>5</v>
      </c>
      <c r="AP326" s="69">
        <v>17</v>
      </c>
      <c r="AR326" s="3" t="str">
        <v>Global Comet Stacking Arm Chair</v>
      </c>
      <c r="AS326" s="1">
        <v>6084.1440000000002</v>
      </c>
      <c r="AT326" s="3">
        <v>823.89449999999999</v>
      </c>
      <c r="AU326" s="16">
        <v>0.8</v>
      </c>
      <c r="AV326" s="3">
        <v>5</v>
      </c>
      <c r="AW326" s="3">
        <v>17</v>
      </c>
    </row>
    <row r="327" spans="17:49" x14ac:dyDescent="0.35">
      <c r="Q327" t="s">
        <v>145</v>
      </c>
      <c r="R327" s="67">
        <v>136.464</v>
      </c>
      <c r="U327" s="3" t="str">
        <v>Barricks Non-Folding Utility Table with Steel Legs, Laminate Tops</v>
      </c>
      <c r="V327" s="1">
        <v>136.464</v>
      </c>
      <c r="W327" s="1">
        <v>0</v>
      </c>
      <c r="X327" s="1"/>
      <c r="Y327" s="1"/>
      <c r="Z327" s="1"/>
      <c r="AC327" s="3" t="str">
        <f t="shared" si="17"/>
        <v/>
      </c>
      <c r="AE327" s="1"/>
      <c r="AG327" s="1"/>
      <c r="AK327" t="s">
        <v>290</v>
      </c>
      <c r="AL327" s="67">
        <v>3528.79</v>
      </c>
      <c r="AM327" s="67">
        <v>514.36599999999999</v>
      </c>
      <c r="AN327" s="55">
        <v>1</v>
      </c>
      <c r="AO327" s="69">
        <v>6</v>
      </c>
      <c r="AP327" s="69">
        <v>14</v>
      </c>
      <c r="AR327" s="3" t="str">
        <v>Global Comet Stacking Armless Chair</v>
      </c>
      <c r="AS327" s="1">
        <v>3528.79</v>
      </c>
      <c r="AT327" s="3">
        <v>514.36599999999999</v>
      </c>
      <c r="AU327" s="16">
        <v>1</v>
      </c>
      <c r="AV327" s="3">
        <v>6</v>
      </c>
      <c r="AW327" s="3">
        <v>14</v>
      </c>
    </row>
    <row r="328" spans="17:49" x14ac:dyDescent="0.35">
      <c r="Q328" t="s">
        <v>185</v>
      </c>
      <c r="R328" s="67">
        <v>136.34399999999999</v>
      </c>
      <c r="U328" s="3" t="str">
        <v>C-Line Magnetic Cubicle Keepers, Clear Polypropylene</v>
      </c>
      <c r="V328" s="1">
        <v>136.34399999999999</v>
      </c>
      <c r="W328" s="1">
        <v>0</v>
      </c>
      <c r="X328" s="1"/>
      <c r="Y328" s="1"/>
      <c r="Z328" s="1"/>
      <c r="AC328" s="3" t="str">
        <f t="shared" si="17"/>
        <v/>
      </c>
      <c r="AE328" s="1"/>
      <c r="AG328" s="1"/>
      <c r="AK328" t="s">
        <v>294</v>
      </c>
      <c r="AL328" s="67">
        <v>1087.92</v>
      </c>
      <c r="AM328" s="67">
        <v>0</v>
      </c>
      <c r="AN328" s="55">
        <v>0.60000000000000009</v>
      </c>
      <c r="AO328" s="69">
        <v>3</v>
      </c>
      <c r="AP328" s="69">
        <v>10</v>
      </c>
      <c r="AR328" s="3" t="str">
        <v>Global Deluxe High-Back Office Chair in Storm</v>
      </c>
      <c r="AS328" s="1">
        <v>1087.92</v>
      </c>
      <c r="AT328" s="3">
        <v>0</v>
      </c>
      <c r="AU328" s="16">
        <v>0.60000000000000009</v>
      </c>
      <c r="AV328" s="3">
        <v>3</v>
      </c>
      <c r="AW328" s="3">
        <v>10</v>
      </c>
    </row>
    <row r="329" spans="17:49" x14ac:dyDescent="0.35">
      <c r="Q329" t="s">
        <v>226</v>
      </c>
      <c r="R329" s="67">
        <v>135.648</v>
      </c>
      <c r="U329" s="3" t="str">
        <v>Eldon 200 Class Desk Accessories, Burgundy</v>
      </c>
      <c r="V329" s="1">
        <v>135.648</v>
      </c>
      <c r="W329" s="1">
        <v>0</v>
      </c>
      <c r="X329" s="1"/>
      <c r="Y329" s="1"/>
      <c r="Z329" s="1"/>
      <c r="AC329" s="3" t="str">
        <f t="shared" si="17"/>
        <v/>
      </c>
      <c r="AE329" s="1"/>
      <c r="AG329" s="1"/>
      <c r="AK329" t="s">
        <v>295</v>
      </c>
      <c r="AL329" s="67">
        <v>1420.5039999999999</v>
      </c>
      <c r="AM329" s="67">
        <v>229.3922</v>
      </c>
      <c r="AN329" s="55">
        <v>0.70000000000000007</v>
      </c>
      <c r="AO329" s="69">
        <v>6</v>
      </c>
      <c r="AP329" s="69">
        <v>17</v>
      </c>
      <c r="AR329" s="3" t="str">
        <v>Global Deluxe Office Fabric Chairs</v>
      </c>
      <c r="AS329" s="1">
        <v>1420.5039999999999</v>
      </c>
      <c r="AT329" s="3">
        <v>229.3922</v>
      </c>
      <c r="AU329" s="16">
        <v>0.70000000000000007</v>
      </c>
      <c r="AV329" s="3">
        <v>6</v>
      </c>
      <c r="AW329" s="3">
        <v>17</v>
      </c>
    </row>
    <row r="330" spans="17:49" x14ac:dyDescent="0.35">
      <c r="Q330" t="s">
        <v>224</v>
      </c>
      <c r="R330" s="67">
        <v>133.136</v>
      </c>
      <c r="U330" s="3" t="str">
        <v>Eldon 200 Class Desk Accessories</v>
      </c>
      <c r="V330" s="1">
        <v>133.136</v>
      </c>
      <c r="W330" s="1">
        <v>0</v>
      </c>
      <c r="X330" s="1"/>
      <c r="Y330" s="1"/>
      <c r="Z330" s="1"/>
      <c r="AC330" s="3" t="str">
        <f t="shared" si="17"/>
        <v/>
      </c>
      <c r="AE330" s="1"/>
      <c r="AG330" s="1"/>
      <c r="AK330" t="s">
        <v>296</v>
      </c>
      <c r="AL330" s="67">
        <v>764.7</v>
      </c>
      <c r="AM330" s="67">
        <v>77.999399999999994</v>
      </c>
      <c r="AN330" s="55">
        <v>1.5</v>
      </c>
      <c r="AO330" s="69">
        <v>7</v>
      </c>
      <c r="AP330" s="69">
        <v>19</v>
      </c>
      <c r="AR330" s="3" t="str">
        <v>Global Deluxe Stacking Chair, Gray</v>
      </c>
      <c r="AS330" s="1">
        <v>764.7</v>
      </c>
      <c r="AT330" s="3">
        <v>77.999399999999994</v>
      </c>
      <c r="AU330" s="16">
        <v>1.5</v>
      </c>
      <c r="AV330" s="3">
        <v>7</v>
      </c>
      <c r="AW330" s="3">
        <v>19</v>
      </c>
    </row>
    <row r="331" spans="17:49" x14ac:dyDescent="0.35">
      <c r="Q331" t="s">
        <v>201</v>
      </c>
      <c r="R331" s="67">
        <v>125.786</v>
      </c>
      <c r="U331" s="3" t="str">
        <v>DAX Cubicle Frames - 8x10</v>
      </c>
      <c r="V331" s="1">
        <v>125.786</v>
      </c>
      <c r="W331" s="1">
        <v>0</v>
      </c>
      <c r="X331" s="1"/>
      <c r="Y331" s="1"/>
      <c r="Z331" s="1"/>
      <c r="AC331" s="3" t="str">
        <f t="shared" si="17"/>
        <v/>
      </c>
      <c r="AE331" s="1"/>
      <c r="AG331" s="1"/>
      <c r="AK331" t="s">
        <v>299</v>
      </c>
      <c r="AL331" s="67">
        <v>207.184</v>
      </c>
      <c r="AM331" s="67">
        <v>25.898</v>
      </c>
      <c r="AN331" s="55">
        <v>0.2</v>
      </c>
      <c r="AO331" s="69">
        <v>1</v>
      </c>
      <c r="AP331" s="69">
        <v>1</v>
      </c>
      <c r="AR331" s="3" t="str">
        <v>Global Enterprise Series Seating Low-Back Swivel/Tilt Chairs</v>
      </c>
      <c r="AS331" s="1">
        <v>207.184</v>
      </c>
      <c r="AT331" s="3">
        <v>25.898</v>
      </c>
      <c r="AU331" s="16">
        <v>0.2</v>
      </c>
      <c r="AV331" s="3">
        <v>1</v>
      </c>
      <c r="AW331" s="3">
        <v>1</v>
      </c>
    </row>
    <row r="332" spans="17:49" x14ac:dyDescent="0.35">
      <c r="Q332" t="s">
        <v>217</v>
      </c>
      <c r="R332" s="67">
        <v>124.74</v>
      </c>
      <c r="U332" s="3" t="str">
        <v>Deflect-O Glasstique Clear Desk Accessories</v>
      </c>
      <c r="V332" s="1">
        <v>124.74</v>
      </c>
      <c r="W332" s="1">
        <v>0</v>
      </c>
      <c r="X332" s="1"/>
      <c r="Y332" s="1"/>
      <c r="Z332" s="1"/>
      <c r="AC332" s="3" t="str">
        <f t="shared" si="17"/>
        <v/>
      </c>
      <c r="AE332" s="1"/>
      <c r="AG332" s="1"/>
      <c r="AK332" t="s">
        <v>306</v>
      </c>
      <c r="AL332" s="67">
        <v>969.25199999999995</v>
      </c>
      <c r="AM332" s="67">
        <v>212.1876</v>
      </c>
      <c r="AN332" s="55">
        <v>0.3</v>
      </c>
      <c r="AO332" s="69">
        <v>2</v>
      </c>
      <c r="AP332" s="69">
        <v>8</v>
      </c>
      <c r="AR332" s="3" t="str">
        <v>Global Italian Leather Office Chair</v>
      </c>
      <c r="AS332" s="1">
        <v>969.25199999999995</v>
      </c>
      <c r="AT332" s="3">
        <v>212.1876</v>
      </c>
      <c r="AU332" s="16">
        <v>0.3</v>
      </c>
      <c r="AV332" s="3">
        <v>2</v>
      </c>
      <c r="AW332" s="3">
        <v>8</v>
      </c>
    </row>
    <row r="333" spans="17:49" x14ac:dyDescent="0.35">
      <c r="Q333" t="s">
        <v>128</v>
      </c>
      <c r="R333" s="67">
        <v>124.586</v>
      </c>
      <c r="U333" s="3" t="str">
        <v>6" Cubicle Wall Clock, Black</v>
      </c>
      <c r="V333" s="1">
        <v>124.586</v>
      </c>
      <c r="W333" s="1">
        <v>0</v>
      </c>
      <c r="X333" s="1"/>
      <c r="Y333" s="1"/>
      <c r="Z333" s="1"/>
      <c r="AC333" s="3" t="str">
        <f t="shared" si="17"/>
        <v/>
      </c>
      <c r="AE333" s="1"/>
      <c r="AG333" s="1"/>
      <c r="AK333" t="s">
        <v>309</v>
      </c>
      <c r="AL333" s="67">
        <v>5861.5330000000004</v>
      </c>
      <c r="AM333" s="67">
        <v>701.98</v>
      </c>
      <c r="AN333" s="55">
        <v>1.3000000000000003</v>
      </c>
      <c r="AO333" s="69">
        <v>7</v>
      </c>
      <c r="AP333" s="69">
        <v>21</v>
      </c>
      <c r="AR333" s="3" t="str">
        <v>Global Leather Executive Chair</v>
      </c>
      <c r="AS333" s="1">
        <v>5861.5330000000004</v>
      </c>
      <c r="AT333" s="3">
        <v>701.98</v>
      </c>
      <c r="AU333" s="16">
        <v>1.3000000000000003</v>
      </c>
      <c r="AV333" s="3">
        <v>7</v>
      </c>
      <c r="AW333" s="3">
        <v>21</v>
      </c>
    </row>
    <row r="334" spans="17:49" x14ac:dyDescent="0.35">
      <c r="Q334" t="s">
        <v>245</v>
      </c>
      <c r="R334" s="67">
        <v>121.29600000000001</v>
      </c>
      <c r="U334" s="3" t="str">
        <v>Eldon Expressions Punched Metal &amp; Wood Desk Accessories, Pewter &amp; Cherry</v>
      </c>
      <c r="V334" s="1">
        <v>121.29600000000001</v>
      </c>
      <c r="W334" s="1">
        <v>0</v>
      </c>
      <c r="X334" s="1"/>
      <c r="Y334" s="1"/>
      <c r="Z334" s="1"/>
      <c r="AC334" s="3" t="str">
        <f t="shared" si="17"/>
        <v/>
      </c>
      <c r="AE334" s="1"/>
      <c r="AG334" s="1"/>
      <c r="AK334" t="s">
        <v>312</v>
      </c>
      <c r="AL334" s="67">
        <v>1746.954</v>
      </c>
      <c r="AM334" s="67">
        <v>18.176400000000001</v>
      </c>
      <c r="AN334" s="55">
        <v>1.5000000000000002</v>
      </c>
      <c r="AO334" s="69">
        <v>8</v>
      </c>
      <c r="AP334" s="69">
        <v>21</v>
      </c>
      <c r="AR334" s="3" t="str">
        <v>Global Low Back Tilter Chair</v>
      </c>
      <c r="AS334" s="1">
        <v>1746.954</v>
      </c>
      <c r="AT334" s="3">
        <v>18.176400000000001</v>
      </c>
      <c r="AU334" s="16">
        <v>1.5000000000000002</v>
      </c>
      <c r="AV334" s="3">
        <v>8</v>
      </c>
      <c r="AW334" s="3">
        <v>21</v>
      </c>
    </row>
    <row r="335" spans="17:49" x14ac:dyDescent="0.35">
      <c r="Q335" t="s">
        <v>171</v>
      </c>
      <c r="R335" s="67">
        <v>119.833</v>
      </c>
      <c r="U335" s="3" t="str">
        <v>Bush Saratoga Collection 5-Shelf Bookcase, Hanover Cherry, *Special Order</v>
      </c>
      <c r="V335" s="1">
        <v>119.833</v>
      </c>
      <c r="W335" s="1">
        <v>0</v>
      </c>
      <c r="X335" s="1"/>
      <c r="Y335" s="1"/>
      <c r="Z335" s="1"/>
      <c r="AC335" s="3" t="str">
        <f t="shared" si="17"/>
        <v/>
      </c>
      <c r="AE335" s="1"/>
      <c r="AG335" s="1"/>
      <c r="AK335" t="s">
        <v>322</v>
      </c>
      <c r="AL335" s="67">
        <v>260.14800000000002</v>
      </c>
      <c r="AM335" s="67">
        <v>68.459999999999994</v>
      </c>
      <c r="AN335" s="55">
        <v>0.2</v>
      </c>
      <c r="AO335" s="69">
        <v>3</v>
      </c>
      <c r="AP335" s="69">
        <v>8</v>
      </c>
      <c r="AR335" s="3" t="str">
        <v>Hand-Finished Solid Wood Document Frame</v>
      </c>
      <c r="AS335" s="1">
        <v>260.14800000000002</v>
      </c>
      <c r="AT335" s="3">
        <v>68.459999999999994</v>
      </c>
      <c r="AU335" s="16">
        <v>0.2</v>
      </c>
      <c r="AV335" s="3">
        <v>3</v>
      </c>
      <c r="AW335" s="3">
        <v>8</v>
      </c>
    </row>
    <row r="336" spans="17:49" x14ac:dyDescent="0.35">
      <c r="Q336" t="s">
        <v>198</v>
      </c>
      <c r="R336" s="67">
        <v>119.556</v>
      </c>
      <c r="U336" s="3" t="str">
        <v>DAX Clear Channel Poster Frame</v>
      </c>
      <c r="V336" s="1">
        <v>119.556</v>
      </c>
      <c r="W336" s="1">
        <v>0</v>
      </c>
      <c r="X336" s="1"/>
      <c r="Y336" s="1"/>
      <c r="Z336" s="1"/>
      <c r="AC336" s="3" t="str">
        <f t="shared" si="17"/>
        <v/>
      </c>
      <c r="AE336" s="1"/>
      <c r="AG336" s="1"/>
      <c r="AK336" t="s">
        <v>326</v>
      </c>
      <c r="AL336" s="67">
        <v>5282.424</v>
      </c>
      <c r="AM336" s="67">
        <v>0</v>
      </c>
      <c r="AN336" s="55">
        <v>1.3</v>
      </c>
      <c r="AO336" s="69">
        <v>6</v>
      </c>
      <c r="AP336" s="69">
        <v>24</v>
      </c>
      <c r="AR336" s="3" t="str">
        <v>Hon 2090 ÒPillow SoftÓ Series Mid Back Swivel/Tilt Chairs</v>
      </c>
      <c r="AS336" s="1">
        <v>5282.424</v>
      </c>
      <c r="AT336" s="3">
        <v>0</v>
      </c>
      <c r="AU336" s="16">
        <v>1.3</v>
      </c>
      <c r="AV336" s="3">
        <v>6</v>
      </c>
      <c r="AW336" s="3">
        <v>24</v>
      </c>
    </row>
    <row r="337" spans="17:49" x14ac:dyDescent="0.35">
      <c r="Q337" t="s">
        <v>263</v>
      </c>
      <c r="R337" s="67">
        <v>117.28</v>
      </c>
      <c r="U337" s="3" t="str">
        <v>Electrix Incandescent Magnifying Lamp, Black</v>
      </c>
      <c r="V337" s="1">
        <v>117.28</v>
      </c>
      <c r="W337" s="1">
        <v>0</v>
      </c>
      <c r="X337" s="1"/>
      <c r="Y337" s="1"/>
      <c r="Z337" s="1"/>
      <c r="AC337" s="3" t="str">
        <f t="shared" si="17"/>
        <v/>
      </c>
      <c r="AE337" s="1"/>
      <c r="AG337" s="1"/>
      <c r="AK337" t="s">
        <v>327</v>
      </c>
      <c r="AL337" s="67">
        <v>3140.55</v>
      </c>
      <c r="AM337" s="67">
        <v>75.373199999999997</v>
      </c>
      <c r="AN337" s="55">
        <v>0.8</v>
      </c>
      <c r="AO337" s="69">
        <v>4</v>
      </c>
      <c r="AP337" s="69">
        <v>18</v>
      </c>
      <c r="AR337" s="3" t="str">
        <v>Hon 2111 Invitation Series Corner Table</v>
      </c>
      <c r="AS337" s="1">
        <v>3140.55</v>
      </c>
      <c r="AT337" s="3">
        <v>75.373199999999997</v>
      </c>
      <c r="AU337" s="16">
        <v>0.8</v>
      </c>
      <c r="AV337" s="3">
        <v>4</v>
      </c>
      <c r="AW337" s="3">
        <v>18</v>
      </c>
    </row>
    <row r="338" spans="17:49" x14ac:dyDescent="0.35">
      <c r="Q338" t="s">
        <v>380</v>
      </c>
      <c r="R338" s="67">
        <v>115.19199999999999</v>
      </c>
      <c r="U338" s="3" t="str">
        <v>Longer-Life Soft White Bulbs</v>
      </c>
      <c r="V338" s="1">
        <v>115.19199999999999</v>
      </c>
      <c r="W338" s="1">
        <v>0</v>
      </c>
      <c r="X338" s="1"/>
      <c r="Y338" s="1"/>
      <c r="Z338" s="1"/>
      <c r="AC338" s="3" t="str">
        <f t="shared" si="17"/>
        <v/>
      </c>
      <c r="AE338" s="1"/>
      <c r="AG338" s="1"/>
      <c r="AK338" t="s">
        <v>329</v>
      </c>
      <c r="AL338" s="67">
        <v>1296.028</v>
      </c>
      <c r="AM338" s="67">
        <v>27.284800000000001</v>
      </c>
      <c r="AN338" s="55">
        <v>1</v>
      </c>
      <c r="AO338" s="69">
        <v>3</v>
      </c>
      <c r="AP338" s="69">
        <v>6</v>
      </c>
      <c r="AR338" s="3" t="str">
        <v>Hon 30" x 60" Table with Locking Drawer</v>
      </c>
      <c r="AS338" s="1">
        <v>1296.028</v>
      </c>
      <c r="AT338" s="3">
        <v>27.284800000000001</v>
      </c>
      <c r="AU338" s="16">
        <v>1</v>
      </c>
      <c r="AV338" s="3">
        <v>3</v>
      </c>
      <c r="AW338" s="3">
        <v>6</v>
      </c>
    </row>
    <row r="339" spans="17:49" x14ac:dyDescent="0.35">
      <c r="Q339" t="s">
        <v>206</v>
      </c>
      <c r="R339" s="67">
        <v>113.33199999999999</v>
      </c>
      <c r="U339" s="3" t="str">
        <v>DAX Solid Wood Frames</v>
      </c>
      <c r="V339" s="1">
        <v>113.33199999999999</v>
      </c>
      <c r="W339" s="1">
        <v>0</v>
      </c>
      <c r="X339" s="1"/>
      <c r="Y339" s="1"/>
      <c r="Z339" s="1"/>
      <c r="AC339" s="3" t="str">
        <f t="shared" si="17"/>
        <v/>
      </c>
      <c r="AE339" s="1"/>
      <c r="AG339" s="1"/>
      <c r="AK339" t="s">
        <v>346</v>
      </c>
      <c r="AL339" s="67">
        <v>1320.2280000000001</v>
      </c>
      <c r="AM339" s="67">
        <v>362.70780000000002</v>
      </c>
      <c r="AN339" s="55">
        <v>0.2</v>
      </c>
      <c r="AO339" s="69">
        <v>5</v>
      </c>
      <c r="AP339" s="69">
        <v>19</v>
      </c>
      <c r="AR339" s="3" t="str">
        <v>Hon Metal Bookcases, Putty</v>
      </c>
      <c r="AS339" s="1">
        <v>1320.2280000000001</v>
      </c>
      <c r="AT339" s="3">
        <v>362.70780000000002</v>
      </c>
      <c r="AU339" s="16">
        <v>0.2</v>
      </c>
      <c r="AV339" s="3">
        <v>5</v>
      </c>
      <c r="AW339" s="3">
        <v>19</v>
      </c>
    </row>
    <row r="340" spans="17:49" x14ac:dyDescent="0.35">
      <c r="Q340" t="s">
        <v>251</v>
      </c>
      <c r="R340" s="67">
        <v>111.188</v>
      </c>
      <c r="U340" s="3" t="str">
        <v>Eldon Image Series Desk Accessories, Burgundy</v>
      </c>
      <c r="V340" s="1">
        <v>111.188</v>
      </c>
      <c r="W340" s="1">
        <v>0</v>
      </c>
      <c r="X340" s="1"/>
      <c r="Y340" s="1"/>
      <c r="Z340" s="1"/>
      <c r="AC340" s="3" t="str">
        <f t="shared" si="17"/>
        <v/>
      </c>
      <c r="AE340" s="1"/>
      <c r="AG340" s="1"/>
      <c r="AK340" t="s">
        <v>360</v>
      </c>
      <c r="AL340" s="67">
        <v>479.33800000000002</v>
      </c>
      <c r="AM340" s="67">
        <v>127.2996</v>
      </c>
      <c r="AN340" s="55">
        <v>0.2</v>
      </c>
      <c r="AO340" s="69">
        <v>2</v>
      </c>
      <c r="AP340" s="69">
        <v>14</v>
      </c>
      <c r="AR340" s="3" t="str">
        <v>Howard Miller 12" Round Wall Clock</v>
      </c>
      <c r="AS340" s="1">
        <v>479.33800000000002</v>
      </c>
      <c r="AT340" s="3">
        <v>127.2996</v>
      </c>
      <c r="AU340" s="16">
        <v>0.2</v>
      </c>
      <c r="AV340" s="3">
        <v>2</v>
      </c>
      <c r="AW340" s="3">
        <v>14</v>
      </c>
    </row>
    <row r="341" spans="17:49" x14ac:dyDescent="0.35">
      <c r="Q341" t="s">
        <v>193</v>
      </c>
      <c r="R341" s="67">
        <v>108.93600000000001</v>
      </c>
      <c r="U341" s="3" t="str">
        <v>Dana Swing-Arm Lamps</v>
      </c>
      <c r="V341" s="1">
        <v>108.93600000000001</v>
      </c>
      <c r="W341" s="1">
        <v>0</v>
      </c>
      <c r="X341" s="1"/>
      <c r="Y341" s="1"/>
      <c r="Z341" s="1"/>
      <c r="AC341" s="3" t="str">
        <f t="shared" si="17"/>
        <v/>
      </c>
      <c r="AE341" s="1"/>
      <c r="AG341" s="1"/>
      <c r="AK341" t="s">
        <v>363</v>
      </c>
      <c r="AL341" s="67">
        <v>1047.7360000000001</v>
      </c>
      <c r="AM341" s="67">
        <v>340.51420000000002</v>
      </c>
      <c r="AN341" s="55">
        <v>0.8</v>
      </c>
      <c r="AO341" s="69">
        <v>7</v>
      </c>
      <c r="AP341" s="69">
        <v>27</v>
      </c>
      <c r="AR341" s="3" t="str">
        <v>Howard Miller 13" Diameter Pewter Finish Round Wall Clock</v>
      </c>
      <c r="AS341" s="1">
        <v>1047.7360000000001</v>
      </c>
      <c r="AT341" s="3">
        <v>340.51420000000002</v>
      </c>
      <c r="AU341" s="16">
        <v>0.8</v>
      </c>
      <c r="AV341" s="3">
        <v>7</v>
      </c>
      <c r="AW341" s="3">
        <v>27</v>
      </c>
    </row>
    <row r="342" spans="17:49" x14ac:dyDescent="0.35">
      <c r="Q342" t="s">
        <v>241</v>
      </c>
      <c r="R342" s="67">
        <v>108.08</v>
      </c>
      <c r="U342" s="3" t="str">
        <v>Eldon Expressions Desk Accessory, Wood Pencil Holder, Oak</v>
      </c>
      <c r="V342" s="1">
        <v>108.08</v>
      </c>
      <c r="W342" s="1">
        <v>0</v>
      </c>
      <c r="X342" s="1"/>
      <c r="Y342" s="1"/>
      <c r="Z342" s="1"/>
      <c r="AC342" s="3" t="str">
        <f t="shared" si="17"/>
        <v/>
      </c>
      <c r="AE342" s="1"/>
      <c r="AG342" s="1"/>
      <c r="AK342" t="s">
        <v>369</v>
      </c>
      <c r="AL342" s="67">
        <v>1589.4059999999999</v>
      </c>
      <c r="AM342" s="67">
        <v>253.83920000000001</v>
      </c>
      <c r="AN342" s="55">
        <v>0.70000000000000007</v>
      </c>
      <c r="AO342" s="69">
        <v>6</v>
      </c>
      <c r="AP342" s="69">
        <v>31</v>
      </c>
      <c r="AR342" s="3" t="str">
        <v>Iceberg Nesting Folding Chair, 19w x 6d x 43h</v>
      </c>
      <c r="AS342" s="1">
        <v>1589.4059999999999</v>
      </c>
      <c r="AT342" s="3">
        <v>253.83920000000001</v>
      </c>
      <c r="AU342" s="16">
        <v>0.70000000000000007</v>
      </c>
      <c r="AV342" s="3">
        <v>6</v>
      </c>
      <c r="AW342" s="3">
        <v>31</v>
      </c>
    </row>
    <row r="343" spans="17:49" x14ac:dyDescent="0.35">
      <c r="Q343" t="s">
        <v>125</v>
      </c>
      <c r="R343" s="67">
        <v>108.04</v>
      </c>
      <c r="U343" s="3" t="str">
        <v>3M Hangers With Command Adhesive</v>
      </c>
      <c r="V343" s="1">
        <v>108.04</v>
      </c>
      <c r="W343" s="1">
        <v>0</v>
      </c>
      <c r="X343" s="1"/>
      <c r="Y343" s="1"/>
      <c r="Z343" s="1"/>
      <c r="AC343" s="3" t="str">
        <f t="shared" si="17"/>
        <v/>
      </c>
      <c r="AE343" s="1"/>
      <c r="AG343" s="1"/>
      <c r="AK343" t="s">
        <v>374</v>
      </c>
      <c r="AL343" s="67">
        <v>1437.4839999999999</v>
      </c>
      <c r="AM343" s="67">
        <v>63.686</v>
      </c>
      <c r="AN343" s="55">
        <v>1.2000000000000002</v>
      </c>
      <c r="AO343" s="69">
        <v>6</v>
      </c>
      <c r="AP343" s="69">
        <v>19</v>
      </c>
      <c r="AR343" s="3" t="str">
        <v>Leather Task Chair, Black</v>
      </c>
      <c r="AS343" s="1">
        <v>1437.4839999999999</v>
      </c>
      <c r="AT343" s="3">
        <v>63.686</v>
      </c>
      <c r="AU343" s="16">
        <v>1.2000000000000002</v>
      </c>
      <c r="AV343" s="3">
        <v>6</v>
      </c>
      <c r="AW343" s="3">
        <v>19</v>
      </c>
    </row>
    <row r="344" spans="17:49" x14ac:dyDescent="0.35">
      <c r="Q344" t="s">
        <v>379</v>
      </c>
      <c r="R344" s="67">
        <v>101.94</v>
      </c>
      <c r="U344" s="3" t="str">
        <v>Linden 12" Wall Clock With Oak Frame</v>
      </c>
      <c r="V344" s="1">
        <v>101.94</v>
      </c>
      <c r="W344" s="1">
        <v>0</v>
      </c>
      <c r="X344" s="1"/>
      <c r="Y344" s="1"/>
      <c r="Z344" s="1"/>
      <c r="AC344" s="3" t="str">
        <f t="shared" si="17"/>
        <v/>
      </c>
      <c r="AE344" s="1"/>
      <c r="AG344" s="1"/>
      <c r="AK344" t="s">
        <v>379</v>
      </c>
      <c r="AL344" s="67">
        <v>101.94</v>
      </c>
      <c r="AM344" s="67">
        <v>30.582000000000001</v>
      </c>
      <c r="AN344" s="55">
        <v>0</v>
      </c>
      <c r="AO344" s="69">
        <v>1</v>
      </c>
      <c r="AP344" s="69">
        <v>3</v>
      </c>
      <c r="AR344" s="3" t="str">
        <v>Linden 12" Wall Clock With Oak Frame</v>
      </c>
      <c r="AS344" s="1">
        <v>101.94</v>
      </c>
      <c r="AT344" s="3">
        <v>30.582000000000001</v>
      </c>
      <c r="AU344" s="16">
        <v>0</v>
      </c>
      <c r="AV344" s="3">
        <v>1</v>
      </c>
      <c r="AW344" s="3">
        <v>3</v>
      </c>
    </row>
    <row r="345" spans="17:49" x14ac:dyDescent="0.35">
      <c r="Q345" t="s">
        <v>280</v>
      </c>
      <c r="R345" s="67">
        <v>98.867999999999995</v>
      </c>
      <c r="U345" s="3" t="str">
        <v>GE 4 Foot Flourescent Tube, 40 Watt</v>
      </c>
      <c r="V345" s="1">
        <v>98.867999999999995</v>
      </c>
      <c r="W345" s="1">
        <v>0</v>
      </c>
      <c r="X345" s="1"/>
      <c r="Y345" s="1"/>
      <c r="Z345" s="1"/>
      <c r="AC345" s="3" t="str">
        <f t="shared" si="17"/>
        <v/>
      </c>
      <c r="AE345" s="1"/>
      <c r="AG345" s="1"/>
      <c r="AK345" t="s">
        <v>381</v>
      </c>
      <c r="AL345" s="67">
        <v>1545.816</v>
      </c>
      <c r="AM345" s="67">
        <v>362.46719999999999</v>
      </c>
      <c r="AN345" s="55">
        <v>0.2</v>
      </c>
      <c r="AO345" s="69">
        <v>4</v>
      </c>
      <c r="AP345" s="69">
        <v>18</v>
      </c>
      <c r="AR345" s="3" t="str">
        <v>Luxo Adjustable Task Clamp Lamp</v>
      </c>
      <c r="AS345" s="1">
        <v>1545.816</v>
      </c>
      <c r="AT345" s="3">
        <v>362.46719999999999</v>
      </c>
      <c r="AU345" s="16">
        <v>0.2</v>
      </c>
      <c r="AV345" s="3">
        <v>4</v>
      </c>
      <c r="AW345" s="3">
        <v>18</v>
      </c>
    </row>
    <row r="346" spans="17:49" x14ac:dyDescent="0.35">
      <c r="Q346" t="s">
        <v>239</v>
      </c>
      <c r="R346" s="67">
        <v>98.135999999999996</v>
      </c>
      <c r="U346" s="3" t="str">
        <v>Eldon Executive Woodline II Cherry Finish Desk Accessories</v>
      </c>
      <c r="V346" s="1">
        <v>98.135999999999996</v>
      </c>
      <c r="W346" s="1">
        <v>0</v>
      </c>
      <c r="X346" s="1"/>
      <c r="Y346" s="1"/>
      <c r="Z346" s="1"/>
      <c r="AC346" s="3" t="str">
        <f t="shared" si="17"/>
        <v/>
      </c>
      <c r="AE346" s="1"/>
      <c r="AG346" s="1"/>
      <c r="AK346" t="s">
        <v>382</v>
      </c>
      <c r="AL346" s="67">
        <v>338.98</v>
      </c>
      <c r="AM346" s="67">
        <v>94.914400000000001</v>
      </c>
      <c r="AN346" s="55">
        <v>0</v>
      </c>
      <c r="AO346" s="69">
        <v>5</v>
      </c>
      <c r="AP346" s="69">
        <v>17</v>
      </c>
      <c r="AR346" s="3" t="str">
        <v>Luxo Economy Swing Arm Lamp</v>
      </c>
      <c r="AS346" s="1">
        <v>338.98</v>
      </c>
      <c r="AT346" s="3">
        <v>94.914400000000001</v>
      </c>
      <c r="AU346" s="16">
        <v>0</v>
      </c>
      <c r="AV346" s="3">
        <v>5</v>
      </c>
      <c r="AW346" s="3">
        <v>17</v>
      </c>
    </row>
    <row r="347" spans="17:49" x14ac:dyDescent="0.35">
      <c r="Q347" t="s">
        <v>271</v>
      </c>
      <c r="R347" s="67">
        <v>97.811999999999998</v>
      </c>
      <c r="U347" s="3" t="str">
        <v>Executive Impressions 14" Contract Wall Clock with Quartz Movement</v>
      </c>
      <c r="V347" s="1">
        <v>97.811999999999998</v>
      </c>
      <c r="W347" s="1">
        <v>0</v>
      </c>
      <c r="X347" s="1"/>
      <c r="Y347" s="1"/>
      <c r="Z347" s="1"/>
      <c r="AC347" s="3" t="str">
        <f t="shared" si="17"/>
        <v/>
      </c>
      <c r="AE347" s="1"/>
      <c r="AG347" s="1"/>
      <c r="AK347" t="s">
        <v>385</v>
      </c>
      <c r="AL347" s="67">
        <v>1268.922</v>
      </c>
      <c r="AM347" s="67">
        <v>131.05260000000001</v>
      </c>
      <c r="AN347" s="55">
        <v>0.2</v>
      </c>
      <c r="AO347" s="69">
        <v>4</v>
      </c>
      <c r="AP347" s="69">
        <v>13</v>
      </c>
      <c r="AR347" s="3" t="str">
        <v>Luxo Professional Magnifying Clamp-On Fluorescent Lamps</v>
      </c>
      <c r="AS347" s="1">
        <v>1268.922</v>
      </c>
      <c r="AT347" s="3">
        <v>131.05260000000001</v>
      </c>
      <c r="AU347" s="16">
        <v>0.2</v>
      </c>
      <c r="AV347" s="3">
        <v>4</v>
      </c>
      <c r="AW347" s="3">
        <v>13</v>
      </c>
    </row>
    <row r="348" spans="17:49" x14ac:dyDescent="0.35">
      <c r="Q348" t="s">
        <v>197</v>
      </c>
      <c r="R348" s="67">
        <v>96.03</v>
      </c>
      <c r="U348" s="3" t="str">
        <v>Dax Clear Box Frame</v>
      </c>
      <c r="V348" s="1">
        <v>96.03</v>
      </c>
      <c r="W348" s="1">
        <v>0</v>
      </c>
      <c r="X348" s="1"/>
      <c r="Y348" s="1"/>
      <c r="Z348" s="1"/>
      <c r="AC348" s="3" t="str">
        <f t="shared" si="17"/>
        <v/>
      </c>
      <c r="AE348" s="1"/>
      <c r="AG348" s="1"/>
      <c r="AK348" t="s">
        <v>386</v>
      </c>
      <c r="AL348" s="67">
        <v>84.831999999999994</v>
      </c>
      <c r="AM348" s="67">
        <v>28.052399999999999</v>
      </c>
      <c r="AN348" s="55">
        <v>0.60000000000000009</v>
      </c>
      <c r="AO348" s="69">
        <v>6</v>
      </c>
      <c r="AP348" s="69">
        <v>19</v>
      </c>
      <c r="AR348" s="3" t="str">
        <v>Magna Visual Magnetic Picture Hangers</v>
      </c>
      <c r="AS348" s="1">
        <v>84.831999999999994</v>
      </c>
      <c r="AT348" s="3">
        <v>28.052399999999999</v>
      </c>
      <c r="AU348" s="16">
        <v>0.60000000000000009</v>
      </c>
      <c r="AV348" s="3">
        <v>6</v>
      </c>
      <c r="AW348" s="3">
        <v>19</v>
      </c>
    </row>
    <row r="349" spans="17:49" x14ac:dyDescent="0.35">
      <c r="Q349" t="s">
        <v>130</v>
      </c>
      <c r="R349" s="67">
        <v>93.983999999999995</v>
      </c>
      <c r="U349" s="3" t="str">
        <v>Acrylic Self-Standing Desk Frames</v>
      </c>
      <c r="V349" s="1">
        <v>93.983999999999995</v>
      </c>
      <c r="W349" s="1">
        <v>0</v>
      </c>
      <c r="X349" s="1"/>
      <c r="Y349" s="1"/>
      <c r="Z349" s="1"/>
      <c r="AC349" s="3" t="str">
        <f t="shared" si="17"/>
        <v/>
      </c>
      <c r="AE349" s="1"/>
      <c r="AG349" s="1"/>
      <c r="AK349" t="s">
        <v>387</v>
      </c>
      <c r="AL349" s="67">
        <v>251.76</v>
      </c>
      <c r="AM349" s="67">
        <v>65.457599999999999</v>
      </c>
      <c r="AN349" s="55">
        <v>0</v>
      </c>
      <c r="AO349" s="69">
        <v>5</v>
      </c>
      <c r="AP349" s="69">
        <v>12</v>
      </c>
      <c r="AR349" s="3" t="str">
        <v>Magnifier Swing Arm Lamp</v>
      </c>
      <c r="AS349" s="1">
        <v>251.76</v>
      </c>
      <c r="AT349" s="3">
        <v>65.457599999999999</v>
      </c>
      <c r="AU349" s="16">
        <v>0</v>
      </c>
      <c r="AV349" s="3">
        <v>5</v>
      </c>
      <c r="AW349" s="3">
        <v>12</v>
      </c>
    </row>
    <row r="350" spans="17:49" x14ac:dyDescent="0.35">
      <c r="Q350" t="s">
        <v>243</v>
      </c>
      <c r="R350" s="67">
        <v>93.6</v>
      </c>
      <c r="U350" s="3" t="str">
        <v>Eldon Expressions Mahogany Wood Desk Collection</v>
      </c>
      <c r="V350" s="1">
        <v>93.6</v>
      </c>
      <c r="W350" s="1">
        <v>0</v>
      </c>
      <c r="X350" s="1"/>
      <c r="Y350" s="1"/>
      <c r="Z350" s="1"/>
      <c r="AC350" s="3" t="str">
        <f t="shared" si="17"/>
        <v/>
      </c>
      <c r="AE350" s="1"/>
      <c r="AG350" s="1"/>
      <c r="AK350" t="s">
        <v>388</v>
      </c>
      <c r="AL350" s="67">
        <v>152.06399999999999</v>
      </c>
      <c r="AM350" s="67">
        <v>42.768000000000001</v>
      </c>
      <c r="AN350" s="55">
        <v>0.2</v>
      </c>
      <c r="AO350" s="69">
        <v>6</v>
      </c>
      <c r="AP350" s="69">
        <v>30</v>
      </c>
      <c r="AR350" s="3" t="str">
        <v>Master Big Foot Doorstop, Beige</v>
      </c>
      <c r="AS350" s="1">
        <v>152.06399999999999</v>
      </c>
      <c r="AT350" s="3">
        <v>42.768000000000001</v>
      </c>
      <c r="AU350" s="16">
        <v>0.2</v>
      </c>
      <c r="AV350" s="3">
        <v>6</v>
      </c>
      <c r="AW350" s="3">
        <v>30</v>
      </c>
    </row>
    <row r="351" spans="17:49" x14ac:dyDescent="0.35">
      <c r="Q351" t="s">
        <v>481</v>
      </c>
      <c r="R351" s="67">
        <v>93.528000000000006</v>
      </c>
      <c r="U351" s="3" t="str">
        <v>Tensor "Hersey Kiss" Styled Floor Lamp</v>
      </c>
      <c r="V351" s="1">
        <v>93.528000000000006</v>
      </c>
      <c r="W351" s="1">
        <v>0</v>
      </c>
      <c r="X351" s="1"/>
      <c r="Y351" s="1"/>
      <c r="Z351" s="1"/>
      <c r="AC351" s="3" t="str">
        <f t="shared" si="17"/>
        <v/>
      </c>
      <c r="AE351" s="1"/>
      <c r="AG351" s="1"/>
      <c r="AK351" t="s">
        <v>396</v>
      </c>
      <c r="AL351" s="67">
        <v>922.74</v>
      </c>
      <c r="AM351" s="67">
        <v>4.9686000000000003</v>
      </c>
      <c r="AN351" s="55">
        <v>0.60000000000000009</v>
      </c>
      <c r="AO351" s="69">
        <v>4</v>
      </c>
      <c r="AP351" s="69">
        <v>16</v>
      </c>
      <c r="AR351" s="3" t="str">
        <v>Novimex High-Tech Fabric Mesh Task Chair</v>
      </c>
      <c r="AS351" s="1">
        <v>922.74</v>
      </c>
      <c r="AT351" s="3">
        <v>4.9686000000000003</v>
      </c>
      <c r="AU351" s="16">
        <v>0.60000000000000009</v>
      </c>
      <c r="AV351" s="3">
        <v>4</v>
      </c>
      <c r="AW351" s="3">
        <v>16</v>
      </c>
    </row>
    <row r="352" spans="17:49" x14ac:dyDescent="0.35">
      <c r="Q352" t="s">
        <v>174</v>
      </c>
      <c r="R352" s="67">
        <v>90.882000000000005</v>
      </c>
      <c r="U352" s="3" t="str">
        <v>Bush Westfield Collection Bookcases, Dark Cherry Finish, Fully Assembled</v>
      </c>
      <c r="V352" s="1">
        <v>90.882000000000005</v>
      </c>
      <c r="W352" s="1">
        <v>0</v>
      </c>
      <c r="X352" s="1"/>
      <c r="Y352" s="1"/>
      <c r="Z352" s="1"/>
      <c r="AC352" s="3" t="str">
        <f t="shared" si="17"/>
        <v/>
      </c>
      <c r="AE352" s="1"/>
      <c r="AG352" s="1"/>
      <c r="AK352" t="s">
        <v>398</v>
      </c>
      <c r="AL352" s="67">
        <v>1341.5219999999999</v>
      </c>
      <c r="AM352" s="67">
        <v>35.49</v>
      </c>
      <c r="AN352" s="55">
        <v>0.8</v>
      </c>
      <c r="AO352" s="69">
        <v>6</v>
      </c>
      <c r="AP352" s="69">
        <v>22</v>
      </c>
      <c r="AR352" s="3" t="str">
        <v>Novimex Turbo Task Chair</v>
      </c>
      <c r="AS352" s="1">
        <v>1341.5219999999999</v>
      </c>
      <c r="AT352" s="3">
        <v>35.49</v>
      </c>
      <c r="AU352" s="16">
        <v>0.8</v>
      </c>
      <c r="AV352" s="3">
        <v>6</v>
      </c>
      <c r="AW352" s="3">
        <v>22</v>
      </c>
    </row>
    <row r="353" spans="17:49" x14ac:dyDescent="0.35">
      <c r="Q353" t="s">
        <v>132</v>
      </c>
      <c r="R353" s="67">
        <v>87.52</v>
      </c>
      <c r="U353" s="3" t="str">
        <v>Advantus Panel Wall Acrylic Frame</v>
      </c>
      <c r="V353" s="1">
        <v>87.52</v>
      </c>
      <c r="W353" s="1">
        <v>0</v>
      </c>
      <c r="X353" s="1"/>
      <c r="Y353" s="1"/>
      <c r="Z353" s="1"/>
      <c r="AC353" s="3" t="str">
        <f t="shared" si="17"/>
        <v/>
      </c>
      <c r="AE353" s="1"/>
      <c r="AG353" s="1"/>
      <c r="AK353" t="s">
        <v>403</v>
      </c>
      <c r="AL353" s="67">
        <v>151.65600000000001</v>
      </c>
      <c r="AM353" s="67">
        <v>35.457599999999999</v>
      </c>
      <c r="AN353" s="55">
        <v>0.4</v>
      </c>
      <c r="AO353" s="69">
        <v>3</v>
      </c>
      <c r="AP353" s="69">
        <v>16</v>
      </c>
      <c r="AR353" s="3" t="str">
        <v>Nu-Dell Oak Frame</v>
      </c>
      <c r="AS353" s="1">
        <v>151.65600000000001</v>
      </c>
      <c r="AT353" s="3">
        <v>35.457599999999999</v>
      </c>
      <c r="AU353" s="16">
        <v>0.4</v>
      </c>
      <c r="AV353" s="3">
        <v>3</v>
      </c>
      <c r="AW353" s="3">
        <v>16</v>
      </c>
    </row>
    <row r="354" spans="17:49" x14ac:dyDescent="0.35">
      <c r="Q354" t="s">
        <v>491</v>
      </c>
      <c r="R354" s="67">
        <v>84.84</v>
      </c>
      <c r="U354" s="3" t="str">
        <v>Westinghouse Mesh Shade Clip-On Gooseneck Lamp, Black</v>
      </c>
      <c r="V354" s="1">
        <v>84.84</v>
      </c>
      <c r="W354" s="1">
        <v>0</v>
      </c>
      <c r="X354" s="1"/>
      <c r="Y354" s="1"/>
      <c r="Z354" s="1"/>
      <c r="AC354" s="3" t="str">
        <f t="shared" si="17"/>
        <v/>
      </c>
      <c r="AE354" s="1"/>
      <c r="AG354" s="1"/>
      <c r="AK354" t="s">
        <v>409</v>
      </c>
      <c r="AL354" s="67">
        <v>2207.9560000000001</v>
      </c>
      <c r="AM354" s="67">
        <v>260.6112</v>
      </c>
      <c r="AN354" s="55">
        <v>0.2</v>
      </c>
      <c r="AO354" s="69">
        <v>2</v>
      </c>
      <c r="AP354" s="69">
        <v>13</v>
      </c>
      <c r="AR354" s="3" t="str">
        <v>Office Star - Ergonomic Mid Back Chair with 2-Way Adjustable Arms</v>
      </c>
      <c r="AS354" s="1">
        <v>2207.9560000000001</v>
      </c>
      <c r="AT354" s="3">
        <v>260.6112</v>
      </c>
      <c r="AU354" s="16">
        <v>0.2</v>
      </c>
      <c r="AV354" s="3">
        <v>2</v>
      </c>
      <c r="AW354" s="3">
        <v>13</v>
      </c>
    </row>
    <row r="355" spans="17:49" x14ac:dyDescent="0.35">
      <c r="Q355" t="s">
        <v>386</v>
      </c>
      <c r="R355" s="67">
        <v>84.831999999999994</v>
      </c>
      <c r="U355" s="3" t="str">
        <v>Magna Visual Magnetic Picture Hangers</v>
      </c>
      <c r="V355" s="1">
        <v>84.831999999999994</v>
      </c>
      <c r="W355" s="1">
        <v>0</v>
      </c>
      <c r="X355" s="1"/>
      <c r="Y355" s="1"/>
      <c r="Z355" s="1"/>
      <c r="AC355" s="3" t="str">
        <f t="shared" si="17"/>
        <v/>
      </c>
      <c r="AE355" s="1"/>
      <c r="AG355" s="1"/>
      <c r="AK355" t="s">
        <v>414</v>
      </c>
      <c r="AL355" s="67">
        <v>600.46799999999996</v>
      </c>
      <c r="AM355" s="67">
        <v>47.309600000000003</v>
      </c>
      <c r="AN355" s="55">
        <v>0.30000000000000004</v>
      </c>
      <c r="AO355" s="69">
        <v>2</v>
      </c>
      <c r="AP355" s="69">
        <v>8</v>
      </c>
      <c r="AR355" s="3" t="str">
        <v>Office Star - Task Chair with Contemporary Loop Arms</v>
      </c>
      <c r="AS355" s="1">
        <v>600.46799999999996</v>
      </c>
      <c r="AT355" s="3">
        <v>47.309600000000003</v>
      </c>
      <c r="AU355" s="16">
        <v>0.30000000000000004</v>
      </c>
      <c r="AV355" s="3">
        <v>2</v>
      </c>
      <c r="AW355" s="3">
        <v>8</v>
      </c>
    </row>
    <row r="356" spans="17:49" x14ac:dyDescent="0.35">
      <c r="Q356" t="s">
        <v>393</v>
      </c>
      <c r="R356" s="67">
        <v>83.49</v>
      </c>
      <c r="U356" s="3" t="str">
        <v>Master Giant Foot Doorstop, Safety Yellow</v>
      </c>
      <c r="V356" s="1">
        <v>83.49</v>
      </c>
      <c r="W356" s="1">
        <v>0</v>
      </c>
      <c r="X356" s="1"/>
      <c r="Y356" s="1"/>
      <c r="Z356" s="1"/>
      <c r="AC356" s="3" t="str">
        <f t="shared" si="17"/>
        <v/>
      </c>
      <c r="AE356" s="1"/>
      <c r="AG356" s="1"/>
      <c r="AK356" t="s">
        <v>418</v>
      </c>
      <c r="AL356" s="67">
        <v>4886.46</v>
      </c>
      <c r="AM356" s="67">
        <v>810.79039999999998</v>
      </c>
      <c r="AN356" s="55">
        <v>1.05</v>
      </c>
      <c r="AO356" s="69">
        <v>7</v>
      </c>
      <c r="AP356" s="69">
        <v>31</v>
      </c>
      <c r="AR356" s="3" t="str">
        <v>O'Sullivan 2-Door Barrister Bookcase in Odessa Pine</v>
      </c>
      <c r="AS356" s="1">
        <v>4886.46</v>
      </c>
      <c r="AT356" s="3">
        <v>810.79039999999998</v>
      </c>
      <c r="AU356" s="16">
        <v>1.05</v>
      </c>
      <c r="AV356" s="3">
        <v>7</v>
      </c>
      <c r="AW356" s="3">
        <v>31</v>
      </c>
    </row>
    <row r="357" spans="17:49" x14ac:dyDescent="0.35">
      <c r="Q357" t="s">
        <v>417</v>
      </c>
      <c r="R357" s="67">
        <v>82.831999999999994</v>
      </c>
      <c r="U357" s="3" t="str">
        <v>OIC Stacking Trays</v>
      </c>
      <c r="V357" s="1">
        <v>82.831999999999994</v>
      </c>
      <c r="W357" s="1">
        <v>0</v>
      </c>
      <c r="X357" s="1"/>
      <c r="Y357" s="1"/>
      <c r="Z357" s="1"/>
      <c r="AC357" s="3" t="str">
        <f t="shared" si="17"/>
        <v/>
      </c>
      <c r="AE357" s="1"/>
      <c r="AG357" s="1"/>
      <c r="AK357" t="s">
        <v>420</v>
      </c>
      <c r="AL357" s="67">
        <v>1119.1949999999999</v>
      </c>
      <c r="AM357" s="67">
        <v>192.4434</v>
      </c>
      <c r="AN357" s="55">
        <v>0.85</v>
      </c>
      <c r="AO357" s="69">
        <v>5</v>
      </c>
      <c r="AP357" s="69">
        <v>22</v>
      </c>
      <c r="AR357" s="3" t="str">
        <v>O'Sullivan 3-Shelf Heavy-Duty Bookcases</v>
      </c>
      <c r="AS357" s="1">
        <v>1119.1949999999999</v>
      </c>
      <c r="AT357" s="3">
        <v>192.4434</v>
      </c>
      <c r="AU357" s="16">
        <v>0.85</v>
      </c>
      <c r="AV357" s="3">
        <v>5</v>
      </c>
      <c r="AW357" s="3">
        <v>22</v>
      </c>
    </row>
    <row r="358" spans="17:49" x14ac:dyDescent="0.35">
      <c r="Q358" t="s">
        <v>279</v>
      </c>
      <c r="R358" s="67">
        <v>81.007999999999996</v>
      </c>
      <c r="U358" s="3" t="str">
        <v>G.E. Longer-Life Indoor Recessed Floodlight Bulbs</v>
      </c>
      <c r="V358" s="1">
        <v>81.007999999999996</v>
      </c>
      <c r="W358" s="1">
        <v>0</v>
      </c>
      <c r="X358" s="1"/>
      <c r="Y358" s="1"/>
      <c r="Z358" s="1"/>
      <c r="AC358" s="3" t="str">
        <f t="shared" si="17"/>
        <v/>
      </c>
      <c r="AE358" s="1"/>
      <c r="AG358" s="1"/>
      <c r="AK358" t="s">
        <v>422</v>
      </c>
      <c r="AL358" s="67">
        <v>540.80399999999997</v>
      </c>
      <c r="AM358" s="67">
        <v>69.649000000000001</v>
      </c>
      <c r="AN358" s="55">
        <v>0.7</v>
      </c>
      <c r="AO358" s="69">
        <v>4</v>
      </c>
      <c r="AP358" s="69">
        <v>9</v>
      </c>
      <c r="AR358" s="3" t="str">
        <v>O'Sullivan 5-Shelf Heavy-Duty Bookcases</v>
      </c>
      <c r="AS358" s="1">
        <v>540.80399999999997</v>
      </c>
      <c r="AT358" s="3">
        <v>69.649000000000001</v>
      </c>
      <c r="AU358" s="16">
        <v>0.7</v>
      </c>
      <c r="AV358" s="3">
        <v>4</v>
      </c>
      <c r="AW358" s="3">
        <v>9</v>
      </c>
    </row>
    <row r="359" spans="17:49" x14ac:dyDescent="0.35">
      <c r="Q359" t="s">
        <v>225</v>
      </c>
      <c r="R359" s="67">
        <v>75.36</v>
      </c>
      <c r="U359" s="3" t="str">
        <v>Eldon 200 Class Desk Accessories, Black</v>
      </c>
      <c r="V359" s="1">
        <v>75.36</v>
      </c>
      <c r="W359" s="1">
        <v>0</v>
      </c>
      <c r="X359" s="1"/>
      <c r="Y359" s="1"/>
      <c r="Z359" s="1"/>
      <c r="AC359" s="3" t="str">
        <f t="shared" si="17"/>
        <v/>
      </c>
      <c r="AE359" s="1"/>
      <c r="AG359" s="1"/>
      <c r="AK359" t="s">
        <v>424</v>
      </c>
      <c r="AL359" s="67">
        <v>424.9</v>
      </c>
      <c r="AM359" s="67">
        <v>27.1936</v>
      </c>
      <c r="AN359" s="55">
        <v>0.2</v>
      </c>
      <c r="AO359" s="69">
        <v>2</v>
      </c>
      <c r="AP359" s="69">
        <v>6</v>
      </c>
      <c r="AR359" s="3" t="str">
        <v>O'Sullivan Cherrywood Estates Traditional Bookcase</v>
      </c>
      <c r="AS359" s="1">
        <v>424.9</v>
      </c>
      <c r="AT359" s="3">
        <v>27.1936</v>
      </c>
      <c r="AU359" s="16">
        <v>0.2</v>
      </c>
      <c r="AV359" s="3">
        <v>2</v>
      </c>
      <c r="AW359" s="3">
        <v>6</v>
      </c>
    </row>
    <row r="360" spans="17:49" x14ac:dyDescent="0.35">
      <c r="Q360" t="s">
        <v>466</v>
      </c>
      <c r="R360" s="67">
        <v>72.707999999999998</v>
      </c>
      <c r="U360" s="3" t="str">
        <v>Stacking Trays by OIC</v>
      </c>
      <c r="V360" s="1">
        <v>72.707999999999998</v>
      </c>
      <c r="W360" s="1">
        <v>0</v>
      </c>
      <c r="X360" s="1"/>
      <c r="Y360" s="1"/>
      <c r="Z360" s="1"/>
      <c r="AC360" s="3" t="str">
        <f t="shared" si="17"/>
        <v/>
      </c>
      <c r="AE360" s="1"/>
      <c r="AG360" s="1"/>
      <c r="AK360" t="s">
        <v>427</v>
      </c>
      <c r="AL360" s="67">
        <v>2904.1610000000001</v>
      </c>
      <c r="AM360" s="67">
        <v>140.68600000000001</v>
      </c>
      <c r="AN360" s="55">
        <v>0.8</v>
      </c>
      <c r="AO360" s="69">
        <v>4</v>
      </c>
      <c r="AP360" s="69">
        <v>17</v>
      </c>
      <c r="AR360" s="3" t="str">
        <v>O'Sullivan Living Dimensions 3-Shelf Bookcases</v>
      </c>
      <c r="AS360" s="1">
        <v>2904.1610000000001</v>
      </c>
      <c r="AT360" s="3">
        <v>140.68600000000001</v>
      </c>
      <c r="AU360" s="16">
        <v>0.8</v>
      </c>
      <c r="AV360" s="3">
        <v>4</v>
      </c>
      <c r="AW360" s="3">
        <v>17</v>
      </c>
    </row>
    <row r="361" spans="17:49" x14ac:dyDescent="0.35">
      <c r="Q361" t="s">
        <v>274</v>
      </c>
      <c r="R361" s="67">
        <v>66.56</v>
      </c>
      <c r="U361" s="3" t="str">
        <v>Executive Impressions 8-1/2" Career Panel/Partition Cubicle Clock</v>
      </c>
      <c r="V361" s="1">
        <v>66.56</v>
      </c>
      <c r="W361" s="1">
        <v>0</v>
      </c>
      <c r="X361" s="1"/>
      <c r="Y361" s="1"/>
      <c r="Z361" s="1"/>
      <c r="AC361" s="3" t="str">
        <f t="shared" si="17"/>
        <v/>
      </c>
      <c r="AE361" s="1"/>
      <c r="AG361" s="1"/>
      <c r="AK361" t="s">
        <v>432</v>
      </c>
      <c r="AL361" s="67">
        <v>35.904000000000003</v>
      </c>
      <c r="AM361" s="67">
        <v>15.2064</v>
      </c>
      <c r="AN361" s="55">
        <v>0.2</v>
      </c>
      <c r="AO361" s="69">
        <v>5</v>
      </c>
      <c r="AP361" s="69">
        <v>21</v>
      </c>
      <c r="AR361" s="3" t="str">
        <v>Regeneration Desk Collection</v>
      </c>
      <c r="AS361" s="1">
        <v>35.904000000000003</v>
      </c>
      <c r="AT361" s="3">
        <v>15.2064</v>
      </c>
      <c r="AU361" s="16">
        <v>0.2</v>
      </c>
      <c r="AV361" s="3">
        <v>5</v>
      </c>
      <c r="AW361" s="3">
        <v>21</v>
      </c>
    </row>
    <row r="362" spans="17:49" x14ac:dyDescent="0.35">
      <c r="Q362" t="s">
        <v>464</v>
      </c>
      <c r="R362" s="67">
        <v>65.296000000000006</v>
      </c>
      <c r="U362" s="3" t="str">
        <v>Stackable Trays</v>
      </c>
      <c r="V362" s="1">
        <v>65.296000000000006</v>
      </c>
      <c r="W362" s="1">
        <v>0</v>
      </c>
      <c r="X362" s="1"/>
      <c r="Y362" s="1"/>
      <c r="Z362" s="1"/>
      <c r="AC362" s="3" t="str">
        <f t="shared" si="17"/>
        <v/>
      </c>
      <c r="AE362" s="1"/>
      <c r="AG362" s="1"/>
      <c r="AK362" t="s">
        <v>438</v>
      </c>
      <c r="AL362" s="67">
        <v>881.19200000000001</v>
      </c>
      <c r="AM362" s="67">
        <v>173.54480000000001</v>
      </c>
      <c r="AN362" s="55">
        <v>0.6</v>
      </c>
      <c r="AO362" s="69">
        <v>4</v>
      </c>
      <c r="AP362" s="69">
        <v>26</v>
      </c>
      <c r="AR362" s="3" t="str">
        <v>Safco Chair Connectors, 6/Carton</v>
      </c>
      <c r="AS362" s="1">
        <v>881.19200000000001</v>
      </c>
      <c r="AT362" s="3">
        <v>173.54480000000001</v>
      </c>
      <c r="AU362" s="16">
        <v>0.6</v>
      </c>
      <c r="AV362" s="3">
        <v>4</v>
      </c>
      <c r="AW362" s="3">
        <v>26</v>
      </c>
    </row>
    <row r="363" spans="17:49" x14ac:dyDescent="0.35">
      <c r="Q363" t="s">
        <v>485</v>
      </c>
      <c r="R363" s="67">
        <v>63.823999999999998</v>
      </c>
      <c r="U363" s="3" t="str">
        <v>Ultra Commercial Grade Dual Valve Door Closer</v>
      </c>
      <c r="V363" s="1">
        <v>63.823999999999998</v>
      </c>
      <c r="W363" s="1">
        <v>0</v>
      </c>
      <c r="X363" s="1"/>
      <c r="Y363" s="1"/>
      <c r="Z363" s="1"/>
      <c r="AC363" s="3" t="str">
        <f t="shared" si="17"/>
        <v/>
      </c>
      <c r="AE363" s="1"/>
      <c r="AG363" s="1"/>
      <c r="AK363" t="s">
        <v>443</v>
      </c>
      <c r="AL363" s="67">
        <v>2979.0039999999999</v>
      </c>
      <c r="AM363" s="67">
        <v>379.97500000000002</v>
      </c>
      <c r="AN363" s="55">
        <v>1.3</v>
      </c>
      <c r="AO363" s="69">
        <v>5</v>
      </c>
      <c r="AP363" s="69">
        <v>26</v>
      </c>
      <c r="AR363" s="3" t="str">
        <v>SAFCO PlanMaster Boards, 60w x 37-1/2d, White Melamine</v>
      </c>
      <c r="AS363" s="1">
        <v>2979.0039999999999</v>
      </c>
      <c r="AT363" s="3">
        <v>379.97500000000002</v>
      </c>
      <c r="AU363" s="16">
        <v>1.3</v>
      </c>
      <c r="AV363" s="3">
        <v>5</v>
      </c>
      <c r="AW363" s="3">
        <v>26</v>
      </c>
    </row>
    <row r="364" spans="17:49" x14ac:dyDescent="0.35">
      <c r="Q364" t="s">
        <v>278</v>
      </c>
      <c r="R364" s="67">
        <v>62.82</v>
      </c>
      <c r="U364" s="3" t="str">
        <v>G.E. Halogen Desk Lamp Bulbs</v>
      </c>
      <c r="V364" s="1">
        <v>62.82</v>
      </c>
      <c r="W364" s="1">
        <v>0</v>
      </c>
      <c r="X364" s="1"/>
      <c r="Y364" s="1"/>
      <c r="Z364" s="1"/>
      <c r="AC364" s="3" t="str">
        <f t="shared" si="17"/>
        <v/>
      </c>
      <c r="AE364" s="1"/>
      <c r="AG364" s="1"/>
      <c r="AK364" t="s">
        <v>448</v>
      </c>
      <c r="AL364" s="67">
        <v>1064.624</v>
      </c>
      <c r="AM364" s="67">
        <v>33.874400000000001</v>
      </c>
      <c r="AN364" s="55">
        <v>0.3</v>
      </c>
      <c r="AO364" s="69">
        <v>3</v>
      </c>
      <c r="AP364" s="69">
        <v>10</v>
      </c>
      <c r="AR364" s="3" t="str">
        <v>Sauder Camden County Barrister Bookcase, Planked Cherry Finish</v>
      </c>
      <c r="AS364" s="1">
        <v>1064.624</v>
      </c>
      <c r="AT364" s="3">
        <v>33.874400000000001</v>
      </c>
      <c r="AU364" s="16">
        <v>0.3</v>
      </c>
      <c r="AV364" s="3">
        <v>3</v>
      </c>
      <c r="AW364" s="3">
        <v>10</v>
      </c>
    </row>
    <row r="365" spans="17:49" x14ac:dyDescent="0.35">
      <c r="Q365" t="s">
        <v>391</v>
      </c>
      <c r="R365" s="67">
        <v>59.695999999999998</v>
      </c>
      <c r="U365" s="3" t="str">
        <v>Master Caster Door Stop, Large Brown</v>
      </c>
      <c r="V365" s="1">
        <v>59.695999999999998</v>
      </c>
      <c r="W365" s="1">
        <v>0</v>
      </c>
      <c r="X365" s="1"/>
      <c r="Y365" s="1"/>
      <c r="Z365" s="1"/>
      <c r="AC365" s="3" t="str">
        <f t="shared" si="17"/>
        <v/>
      </c>
      <c r="AE365" s="1"/>
      <c r="AG365" s="1"/>
      <c r="AK365" t="s">
        <v>451</v>
      </c>
      <c r="AL365" s="67">
        <v>322.19200000000001</v>
      </c>
      <c r="AM365" s="67">
        <v>4.3372000000000002</v>
      </c>
      <c r="AN365" s="55">
        <v>0.7</v>
      </c>
      <c r="AO365" s="69">
        <v>3</v>
      </c>
      <c r="AP365" s="69">
        <v>14</v>
      </c>
      <c r="AR365" s="3" t="str">
        <v>Sauder Cornerstone Collection Library</v>
      </c>
      <c r="AS365" s="1">
        <v>322.19200000000001</v>
      </c>
      <c r="AT365" s="3">
        <v>4.3372000000000002</v>
      </c>
      <c r="AU365" s="16">
        <v>0.7</v>
      </c>
      <c r="AV365" s="3">
        <v>3</v>
      </c>
      <c r="AW365" s="3">
        <v>14</v>
      </c>
    </row>
    <row r="366" spans="17:49" x14ac:dyDescent="0.35">
      <c r="Q366" t="s">
        <v>273</v>
      </c>
      <c r="R366" s="67">
        <v>58.783999999999999</v>
      </c>
      <c r="U366" s="3" t="str">
        <v>Executive Impressions 16-1/2" Circular Wall Clock</v>
      </c>
      <c r="V366" s="1">
        <v>58.783999999999999</v>
      </c>
      <c r="W366" s="1">
        <v>0</v>
      </c>
      <c r="X366" s="1"/>
      <c r="Y366" s="1"/>
      <c r="Z366" s="1"/>
      <c r="AC366" s="3" t="str">
        <f t="shared" si="17"/>
        <v/>
      </c>
      <c r="AE366" s="1"/>
      <c r="AG366" s="1"/>
      <c r="AK366" t="s">
        <v>453</v>
      </c>
      <c r="AL366" s="67">
        <v>1014.174</v>
      </c>
      <c r="AM366" s="67">
        <v>0</v>
      </c>
      <c r="AN366" s="55">
        <v>0.85</v>
      </c>
      <c r="AO366" s="69">
        <v>3</v>
      </c>
      <c r="AP366" s="69">
        <v>10</v>
      </c>
      <c r="AR366" s="3" t="str">
        <v>Sauder Forest Hills Library with Doors, Woodland Oak Finish</v>
      </c>
      <c r="AS366" s="1">
        <v>1014.174</v>
      </c>
      <c r="AT366" s="3">
        <v>0</v>
      </c>
      <c r="AU366" s="16">
        <v>0.85</v>
      </c>
      <c r="AV366" s="3">
        <v>3</v>
      </c>
      <c r="AW366" s="3">
        <v>10</v>
      </c>
    </row>
    <row r="367" spans="17:49" x14ac:dyDescent="0.35">
      <c r="Q367" t="s">
        <v>268</v>
      </c>
      <c r="R367" s="67">
        <v>56.1</v>
      </c>
      <c r="U367" s="3" t="str">
        <v>Executive Impressions 13-1/2" Indoor/Outdoor Wall Clock</v>
      </c>
      <c r="V367" s="1">
        <v>56.1</v>
      </c>
      <c r="W367" s="1">
        <v>0</v>
      </c>
      <c r="X367" s="1"/>
      <c r="Y367" s="1"/>
      <c r="Z367" s="1"/>
      <c r="AC367" s="3" t="str">
        <f t="shared" si="17"/>
        <v/>
      </c>
      <c r="AE367" s="1"/>
      <c r="AG367" s="1"/>
      <c r="AK367" t="s">
        <v>454</v>
      </c>
      <c r="AL367" s="67">
        <v>1875.0340000000001</v>
      </c>
      <c r="AM367" s="67">
        <v>56.392000000000003</v>
      </c>
      <c r="AN367" s="55">
        <v>0.5</v>
      </c>
      <c r="AO367" s="69">
        <v>4</v>
      </c>
      <c r="AP367" s="69">
        <v>15</v>
      </c>
      <c r="AR367" s="3" t="str">
        <v>Sauder Forest Hills Library, Woodland Oak Finish</v>
      </c>
      <c r="AS367" s="1">
        <v>1875.0340000000001</v>
      </c>
      <c r="AT367" s="3">
        <v>56.392000000000003</v>
      </c>
      <c r="AU367" s="16">
        <v>0.5</v>
      </c>
      <c r="AV367" s="3">
        <v>4</v>
      </c>
      <c r="AW367" s="3">
        <v>15</v>
      </c>
    </row>
    <row r="368" spans="17:49" x14ac:dyDescent="0.35">
      <c r="Q368" t="s">
        <v>249</v>
      </c>
      <c r="R368" s="67">
        <v>53.46</v>
      </c>
      <c r="U368" s="3" t="str">
        <v>Eldon Imˆge Series Desk Accessories, Clear</v>
      </c>
      <c r="V368" s="1">
        <v>53.46</v>
      </c>
      <c r="W368" s="1">
        <v>0</v>
      </c>
      <c r="X368" s="1"/>
      <c r="Y368" s="1"/>
      <c r="Z368" s="1"/>
      <c r="AC368" s="3" t="str">
        <f t="shared" si="17"/>
        <v/>
      </c>
      <c r="AE368" s="1"/>
      <c r="AG368" s="1"/>
      <c r="AK368" t="s">
        <v>457</v>
      </c>
      <c r="AL368" s="67">
        <v>390.66</v>
      </c>
      <c r="AM368" s="67">
        <v>132.8244</v>
      </c>
      <c r="AN368" s="55">
        <v>0</v>
      </c>
      <c r="AO368" s="69">
        <v>3</v>
      </c>
      <c r="AP368" s="69">
        <v>17</v>
      </c>
      <c r="AR368" s="3" t="str">
        <v>Seth Thomas 12" Clock w/ Goldtone Case</v>
      </c>
      <c r="AS368" s="1">
        <v>390.66</v>
      </c>
      <c r="AT368" s="3">
        <v>132.8244</v>
      </c>
      <c r="AU368" s="16">
        <v>0</v>
      </c>
      <c r="AV368" s="3">
        <v>3</v>
      </c>
      <c r="AW368" s="3">
        <v>17</v>
      </c>
    </row>
    <row r="369" spans="17:49" x14ac:dyDescent="0.35">
      <c r="Q369" t="s">
        <v>135</v>
      </c>
      <c r="R369" s="67">
        <v>51.781999999999996</v>
      </c>
      <c r="U369" s="3" t="str">
        <v>Anderson Hickey Conga Table Tops &amp; Accessories</v>
      </c>
      <c r="V369" s="1">
        <v>51.781999999999996</v>
      </c>
      <c r="W369" s="1">
        <v>0</v>
      </c>
      <c r="X369" s="1"/>
      <c r="Y369" s="1"/>
      <c r="Z369" s="1"/>
      <c r="AC369" s="3" t="str">
        <f t="shared" si="17"/>
        <v/>
      </c>
      <c r="AE369" s="1"/>
      <c r="AG369" s="1"/>
      <c r="AK369" t="s">
        <v>459</v>
      </c>
      <c r="AL369" s="67">
        <v>467.072</v>
      </c>
      <c r="AM369" s="67">
        <v>162.05119999999999</v>
      </c>
      <c r="AN369" s="55">
        <v>0.4</v>
      </c>
      <c r="AO369" s="69">
        <v>6</v>
      </c>
      <c r="AP369" s="69">
        <v>17</v>
      </c>
      <c r="AR369" s="3" t="str">
        <v>Seth Thomas 14" Day/Date Wall Clock</v>
      </c>
      <c r="AS369" s="1">
        <v>467.072</v>
      </c>
      <c r="AT369" s="3">
        <v>162.05119999999999</v>
      </c>
      <c r="AU369" s="16">
        <v>0.4</v>
      </c>
      <c r="AV369" s="3">
        <v>6</v>
      </c>
      <c r="AW369" s="3">
        <v>17</v>
      </c>
    </row>
    <row r="370" spans="17:49" x14ac:dyDescent="0.35">
      <c r="Q370" t="s">
        <v>250</v>
      </c>
      <c r="R370" s="67">
        <v>48.851999999999997</v>
      </c>
      <c r="U370" s="3" t="str">
        <v>Eldon Image Series Black Desk Accessories</v>
      </c>
      <c r="V370" s="1">
        <v>48.851999999999997</v>
      </c>
      <c r="W370" s="1">
        <v>0</v>
      </c>
      <c r="X370" s="1"/>
      <c r="Y370" s="1"/>
      <c r="Z370" s="1"/>
      <c r="AC370" s="3" t="str">
        <f t="shared" si="17"/>
        <v/>
      </c>
      <c r="AE370" s="1"/>
      <c r="AG370" s="1"/>
      <c r="AK370" t="s">
        <v>460</v>
      </c>
      <c r="AL370" s="67">
        <v>357.94799999999998</v>
      </c>
      <c r="AM370" s="67">
        <v>94.768199999999993</v>
      </c>
      <c r="AN370" s="55">
        <v>0.2</v>
      </c>
      <c r="AO370" s="69">
        <v>4</v>
      </c>
      <c r="AP370" s="69">
        <v>13</v>
      </c>
      <c r="AR370" s="3" t="str">
        <v>Seth Thomas 14" Putty-Colored Wall Clock</v>
      </c>
      <c r="AS370" s="1">
        <v>357.94799999999998</v>
      </c>
      <c r="AT370" s="3">
        <v>94.768199999999993</v>
      </c>
      <c r="AU370" s="16">
        <v>0.2</v>
      </c>
      <c r="AV370" s="3">
        <v>4</v>
      </c>
      <c r="AW370" s="3">
        <v>13</v>
      </c>
    </row>
    <row r="371" spans="17:49" x14ac:dyDescent="0.35">
      <c r="Q371" t="s">
        <v>390</v>
      </c>
      <c r="R371" s="67">
        <v>47.752000000000002</v>
      </c>
      <c r="U371" s="3" t="str">
        <v>Master Caster Door Stop, Gray</v>
      </c>
      <c r="V371" s="1">
        <v>47.752000000000002</v>
      </c>
      <c r="W371" s="1">
        <v>0</v>
      </c>
      <c r="X371" s="1"/>
      <c r="Y371" s="1"/>
      <c r="Z371" s="1"/>
      <c r="AC371" s="3" t="str">
        <f t="shared" si="17"/>
        <v/>
      </c>
      <c r="AE371" s="1"/>
      <c r="AG371" s="1"/>
      <c r="AK371" t="s">
        <v>464</v>
      </c>
      <c r="AL371" s="67">
        <v>65.296000000000006</v>
      </c>
      <c r="AM371" s="67">
        <v>17.1248</v>
      </c>
      <c r="AN371" s="55">
        <v>0.60000000000000009</v>
      </c>
      <c r="AO371" s="69">
        <v>7</v>
      </c>
      <c r="AP371" s="69">
        <v>23</v>
      </c>
      <c r="AR371" s="3" t="str">
        <v>Stackable Trays</v>
      </c>
      <c r="AS371" s="1">
        <v>65.296000000000006</v>
      </c>
      <c r="AT371" s="3">
        <v>17.1248</v>
      </c>
      <c r="AU371" s="16">
        <v>0.60000000000000009</v>
      </c>
      <c r="AV371" s="3">
        <v>7</v>
      </c>
      <c r="AW371" s="3">
        <v>23</v>
      </c>
    </row>
    <row r="372" spans="17:49" x14ac:dyDescent="0.35">
      <c r="Q372" t="s">
        <v>465</v>
      </c>
      <c r="R372" s="67">
        <v>46.591999999999999</v>
      </c>
      <c r="U372" s="3" t="str">
        <v>Stacking Tray, Side-Loading, Legal, Smoke</v>
      </c>
      <c r="V372" s="1">
        <v>46.591999999999999</v>
      </c>
      <c r="W372" s="1">
        <v>0</v>
      </c>
      <c r="X372" s="1"/>
      <c r="Y372" s="1"/>
      <c r="Z372" s="1"/>
      <c r="AC372" s="3" t="str">
        <f t="shared" si="17"/>
        <v/>
      </c>
      <c r="AE372" s="1"/>
      <c r="AG372" s="1"/>
      <c r="AK372" t="s">
        <v>470</v>
      </c>
      <c r="AL372" s="67">
        <v>2267.9720000000002</v>
      </c>
      <c r="AM372" s="67">
        <v>148.37200000000001</v>
      </c>
      <c r="AN372" s="55">
        <v>1</v>
      </c>
      <c r="AO372" s="69">
        <v>7</v>
      </c>
      <c r="AP372" s="69">
        <v>25</v>
      </c>
      <c r="AR372" s="3" t="str">
        <v>Tenex 46" x 60" Computer Anti-Static Chairmat, Rectangular Shaped</v>
      </c>
      <c r="AS372" s="1">
        <v>2267.9720000000002</v>
      </c>
      <c r="AT372" s="3">
        <v>148.37200000000001</v>
      </c>
      <c r="AU372" s="16">
        <v>1</v>
      </c>
      <c r="AV372" s="3">
        <v>7</v>
      </c>
      <c r="AW372" s="3">
        <v>25</v>
      </c>
    </row>
    <row r="373" spans="17:49" x14ac:dyDescent="0.35">
      <c r="Q373" t="s">
        <v>282</v>
      </c>
      <c r="R373" s="67">
        <v>45.396000000000001</v>
      </c>
      <c r="U373" s="3" t="str">
        <v>GE General Purpose, Extra Long Life, Showcase &amp; Floodlight Incandescent Bulbs</v>
      </c>
      <c r="V373" s="1">
        <v>45.396000000000001</v>
      </c>
      <c r="W373" s="1">
        <v>0</v>
      </c>
      <c r="X373" s="1"/>
      <c r="Y373" s="1"/>
      <c r="Z373" s="1"/>
      <c r="AC373" s="3" t="str">
        <f t="shared" si="17"/>
        <v/>
      </c>
      <c r="AE373" s="1"/>
      <c r="AF373" s="1"/>
      <c r="AG373" s="1"/>
      <c r="AK373" t="s">
        <v>472</v>
      </c>
      <c r="AL373" s="67">
        <v>1002.364</v>
      </c>
      <c r="AM373" s="67">
        <v>132.88220000000001</v>
      </c>
      <c r="AN373" s="55">
        <v>0.2</v>
      </c>
      <c r="AO373" s="69">
        <v>7</v>
      </c>
      <c r="AP373" s="69">
        <v>23</v>
      </c>
      <c r="AR373" s="3" t="str">
        <v>Tenex B1-RE Series Chair Mats for Low Pile Carpets</v>
      </c>
      <c r="AS373" s="1">
        <v>1002.364</v>
      </c>
      <c r="AT373" s="3">
        <v>132.88220000000001</v>
      </c>
      <c r="AU373" s="16">
        <v>0.2</v>
      </c>
      <c r="AV373" s="3">
        <v>7</v>
      </c>
      <c r="AW373" s="3">
        <v>23</v>
      </c>
    </row>
    <row r="374" spans="17:49" x14ac:dyDescent="0.35">
      <c r="Q374" t="s">
        <v>221</v>
      </c>
      <c r="R374" s="67">
        <v>45.036000000000001</v>
      </c>
      <c r="U374" s="3" t="str">
        <v>Document Clip Frames</v>
      </c>
      <c r="V374" s="1">
        <v>45.036000000000001</v>
      </c>
      <c r="W374" s="1">
        <v>0</v>
      </c>
      <c r="X374" s="1"/>
      <c r="Y374" s="1"/>
      <c r="Z374" s="1"/>
      <c r="AC374" s="3" t="str">
        <f t="shared" si="17"/>
        <v/>
      </c>
      <c r="AE374" s="1"/>
      <c r="AF374" s="1"/>
      <c r="AG374" s="1"/>
      <c r="AK374" t="s">
        <v>475</v>
      </c>
      <c r="AL374" s="67">
        <v>175.78</v>
      </c>
      <c r="AM374" s="67">
        <v>8.7889999999999997</v>
      </c>
      <c r="AN374" s="55">
        <v>0</v>
      </c>
      <c r="AO374" s="69">
        <v>4</v>
      </c>
      <c r="AP374" s="69">
        <v>11</v>
      </c>
      <c r="AR374" s="3" t="str">
        <v>Tenex Chairmats For Use With Carpeted Floors</v>
      </c>
      <c r="AS374" s="1">
        <v>175.78</v>
      </c>
      <c r="AT374" s="3">
        <v>8.7889999999999997</v>
      </c>
      <c r="AU374" s="16">
        <v>0</v>
      </c>
      <c r="AV374" s="3">
        <v>4</v>
      </c>
      <c r="AW374" s="3">
        <v>11</v>
      </c>
    </row>
    <row r="375" spans="17:49" x14ac:dyDescent="0.35">
      <c r="Q375" t="s">
        <v>255</v>
      </c>
      <c r="R375" s="67">
        <v>39.688000000000002</v>
      </c>
      <c r="U375" s="3" t="str">
        <v>Eldon Regeneration Recycled Desk Accessories, Black</v>
      </c>
      <c r="V375" s="1">
        <v>39.688000000000002</v>
      </c>
      <c r="W375" s="1">
        <v>0</v>
      </c>
      <c r="X375" s="1"/>
      <c r="Y375" s="1"/>
      <c r="Z375" s="1"/>
      <c r="AC375" s="3" t="str">
        <f t="shared" si="17"/>
        <v/>
      </c>
      <c r="AE375" s="1"/>
      <c r="AF375" s="1"/>
      <c r="AG375" s="1"/>
      <c r="AK375" t="s">
        <v>477</v>
      </c>
      <c r="AL375" s="67">
        <v>1010.782</v>
      </c>
      <c r="AM375" s="67">
        <v>150.542</v>
      </c>
      <c r="AN375" s="55">
        <v>0.2</v>
      </c>
      <c r="AO375" s="69">
        <v>4</v>
      </c>
      <c r="AP375" s="69">
        <v>10</v>
      </c>
      <c r="AR375" s="3" t="str">
        <v>Tenex Contemporary Contur Chairmats for Low and Medium Pile Carpet, Computer, 39" x 49"</v>
      </c>
      <c r="AS375" s="1">
        <v>1010.782</v>
      </c>
      <c r="AT375" s="3">
        <v>150.542</v>
      </c>
      <c r="AU375" s="16">
        <v>0.2</v>
      </c>
      <c r="AV375" s="3">
        <v>4</v>
      </c>
      <c r="AW375" s="3">
        <v>10</v>
      </c>
    </row>
    <row r="376" spans="17:49" x14ac:dyDescent="0.35">
      <c r="Q376" t="s">
        <v>253</v>
      </c>
      <c r="R376" s="67">
        <v>37.463999999999999</v>
      </c>
      <c r="U376" s="3" t="str">
        <v>Eldon Pizzaz Desk Accessories</v>
      </c>
      <c r="V376" s="1">
        <v>37.463999999999999</v>
      </c>
      <c r="W376" s="1">
        <v>0</v>
      </c>
      <c r="X376" s="1"/>
      <c r="Y376" s="1"/>
      <c r="Z376" s="1"/>
      <c r="AC376" s="3" t="str">
        <f t="shared" si="17"/>
        <v/>
      </c>
      <c r="AE376" s="1"/>
      <c r="AF376" s="1"/>
      <c r="AG376" s="1"/>
      <c r="AK376" t="s">
        <v>481</v>
      </c>
      <c r="AL376" s="67">
        <v>93.528000000000006</v>
      </c>
      <c r="AM376" s="67">
        <v>6.2351999999999999</v>
      </c>
      <c r="AN376" s="55">
        <v>0.2</v>
      </c>
      <c r="AO376" s="69">
        <v>3</v>
      </c>
      <c r="AP376" s="69">
        <v>8</v>
      </c>
      <c r="AR376" s="3" t="str">
        <v>Tensor "Hersey Kiss" Styled Floor Lamp</v>
      </c>
      <c r="AS376" s="1">
        <v>93.528000000000006</v>
      </c>
      <c r="AT376" s="3">
        <v>6.2351999999999999</v>
      </c>
      <c r="AU376" s="16">
        <v>0.2</v>
      </c>
      <c r="AV376" s="3">
        <v>3</v>
      </c>
      <c r="AW376" s="3">
        <v>8</v>
      </c>
    </row>
    <row r="377" spans="17:49" x14ac:dyDescent="0.35">
      <c r="Q377" t="s">
        <v>223</v>
      </c>
      <c r="R377" s="67">
        <v>36.396000000000001</v>
      </c>
      <c r="U377" s="3" t="str">
        <v>Eldon 100 Class Desk Accessories</v>
      </c>
      <c r="V377" s="1">
        <v>36.396000000000001</v>
      </c>
      <c r="W377" s="1">
        <v>0</v>
      </c>
      <c r="X377" s="1"/>
      <c r="Y377" s="1"/>
      <c r="Z377" s="1"/>
      <c r="AC377" s="3" t="str">
        <f t="shared" si="17"/>
        <v/>
      </c>
      <c r="AE377" s="1"/>
      <c r="AF377" s="1"/>
      <c r="AG377" s="1"/>
      <c r="AK377" t="s">
        <v>483</v>
      </c>
      <c r="AL377" s="67">
        <v>536.04</v>
      </c>
      <c r="AM377" s="67">
        <v>144.73079999999999</v>
      </c>
      <c r="AN377" s="55">
        <v>0</v>
      </c>
      <c r="AO377" s="69">
        <v>8</v>
      </c>
      <c r="AP377" s="69">
        <v>36</v>
      </c>
      <c r="AR377" s="3" t="str">
        <v>Tensor Computer Mounted Lamp</v>
      </c>
      <c r="AS377" s="1">
        <v>536.04</v>
      </c>
      <c r="AT377" s="3">
        <v>144.73079999999999</v>
      </c>
      <c r="AU377" s="16">
        <v>0</v>
      </c>
      <c r="AV377" s="3">
        <v>8</v>
      </c>
      <c r="AW377" s="3">
        <v>36</v>
      </c>
    </row>
    <row r="378" spans="17:49" x14ac:dyDescent="0.35">
      <c r="Q378" t="s">
        <v>188</v>
      </c>
      <c r="R378" s="67">
        <v>36.161999999999999</v>
      </c>
      <c r="U378" s="3" t="str">
        <v>Contemporary Borderless Frame</v>
      </c>
      <c r="V378" s="1">
        <v>36.161999999999999</v>
      </c>
      <c r="W378" s="1">
        <v>0</v>
      </c>
      <c r="X378" s="1"/>
      <c r="Y378" s="1"/>
      <c r="Z378" s="1"/>
      <c r="AC378" s="3" t="str">
        <f t="shared" si="17"/>
        <v/>
      </c>
      <c r="AE378" s="1"/>
      <c r="AF378" s="1"/>
      <c r="AG378" s="1"/>
      <c r="AK378" t="s">
        <v>485</v>
      </c>
      <c r="AL378" s="67">
        <v>63.823999999999998</v>
      </c>
      <c r="AM378" s="67">
        <v>9.5736000000000008</v>
      </c>
      <c r="AN378" s="55">
        <v>0.2</v>
      </c>
      <c r="AO378" s="69">
        <v>1</v>
      </c>
      <c r="AP378" s="69">
        <v>2</v>
      </c>
      <c r="AR378" s="3" t="str">
        <v>Ultra Commercial Grade Dual Valve Door Closer</v>
      </c>
      <c r="AS378" s="1">
        <v>63.823999999999998</v>
      </c>
      <c r="AT378" s="3">
        <v>9.5736000000000008</v>
      </c>
      <c r="AU378" s="16">
        <v>0.2</v>
      </c>
      <c r="AV378" s="3">
        <v>1</v>
      </c>
      <c r="AW378" s="3">
        <v>2</v>
      </c>
    </row>
    <row r="379" spans="17:49" x14ac:dyDescent="0.35">
      <c r="Q379" t="s">
        <v>432</v>
      </c>
      <c r="R379" s="67">
        <v>35.904000000000003</v>
      </c>
      <c r="U379" s="3" t="str">
        <v>Regeneration Desk Collection</v>
      </c>
      <c r="V379" s="1">
        <v>35.904000000000003</v>
      </c>
      <c r="W379" s="1">
        <v>0</v>
      </c>
      <c r="X379" s="1"/>
      <c r="Y379" s="1"/>
      <c r="Z379" s="1"/>
      <c r="AC379" s="3" t="str">
        <f t="shared" si="17"/>
        <v/>
      </c>
      <c r="AE379" s="1"/>
      <c r="AF379" s="1"/>
      <c r="AG379" s="1"/>
      <c r="AK379" t="s">
        <v>486</v>
      </c>
      <c r="AL379" s="67">
        <v>158.24</v>
      </c>
      <c r="AM379" s="67">
        <v>27.692</v>
      </c>
      <c r="AN379" s="55">
        <v>0.4</v>
      </c>
      <c r="AO379" s="69">
        <v>2</v>
      </c>
      <c r="AP379" s="69">
        <v>10</v>
      </c>
      <c r="AR379" s="3" t="str">
        <v>Ultra Door Kickplate, 8"H x 34"W</v>
      </c>
      <c r="AS379" s="1">
        <v>158.24</v>
      </c>
      <c r="AT379" s="3">
        <v>27.692</v>
      </c>
      <c r="AU379" s="16">
        <v>0.4</v>
      </c>
      <c r="AV379" s="3">
        <v>2</v>
      </c>
      <c r="AW379" s="3">
        <v>10</v>
      </c>
    </row>
    <row r="380" spans="17:49" x14ac:dyDescent="0.35">
      <c r="Q380" t="s">
        <v>256</v>
      </c>
      <c r="R380" s="67">
        <v>33.756</v>
      </c>
      <c r="U380" s="3" t="str">
        <v>Eldon Regeneration Recycled Desk Accessories, Smoke</v>
      </c>
      <c r="V380" s="1">
        <v>33.756</v>
      </c>
      <c r="W380" s="1">
        <v>0</v>
      </c>
      <c r="X380" s="1"/>
      <c r="Y380" s="1"/>
      <c r="Z380" s="1"/>
      <c r="AC380" s="3" t="str">
        <f t="shared" si="17"/>
        <v/>
      </c>
      <c r="AE380" s="1"/>
      <c r="AF380" s="1"/>
      <c r="AG380" s="1"/>
      <c r="AK380" t="s">
        <v>487</v>
      </c>
      <c r="AL380" s="67">
        <v>265.10399999999998</v>
      </c>
      <c r="AM380" s="67">
        <v>74.797200000000004</v>
      </c>
      <c r="AN380" s="55">
        <v>0.4</v>
      </c>
      <c r="AO380" s="69">
        <v>6</v>
      </c>
      <c r="AP380" s="69">
        <v>27</v>
      </c>
      <c r="AR380" s="3" t="str">
        <v>Ultra Door Pull Handle</v>
      </c>
      <c r="AS380" s="1">
        <v>265.10399999999998</v>
      </c>
      <c r="AT380" s="3">
        <v>74.797200000000004</v>
      </c>
      <c r="AU380" s="16">
        <v>0.4</v>
      </c>
      <c r="AV380" s="3">
        <v>6</v>
      </c>
      <c r="AW380" s="3">
        <v>27</v>
      </c>
    </row>
    <row r="381" spans="17:49" x14ac:dyDescent="0.35">
      <c r="Q381" t="s">
        <v>228</v>
      </c>
      <c r="R381" s="67">
        <v>29.7</v>
      </c>
      <c r="U381" s="3" t="str">
        <v>Eldon 300 Class Desk Accessories, Black</v>
      </c>
      <c r="V381" s="1">
        <v>29.7</v>
      </c>
      <c r="W381" s="1">
        <v>0</v>
      </c>
      <c r="X381" s="1"/>
      <c r="Y381" s="1"/>
      <c r="Z381" s="1"/>
      <c r="AC381" s="3" t="str">
        <f t="shared" si="17"/>
        <v/>
      </c>
      <c r="AE381" s="1"/>
      <c r="AF381" s="1"/>
      <c r="AG381" s="1"/>
      <c r="AK381" t="s">
        <v>490</v>
      </c>
      <c r="AL381" s="67">
        <v>167.93</v>
      </c>
      <c r="AM381" s="67">
        <v>38.623899999999999</v>
      </c>
      <c r="AN381" s="55">
        <v>0</v>
      </c>
      <c r="AO381" s="69">
        <v>4</v>
      </c>
      <c r="AP381" s="69">
        <v>7</v>
      </c>
      <c r="AR381" s="3" t="str">
        <v>Westinghouse Floor Lamp with Metal Mesh Shade, Black</v>
      </c>
      <c r="AS381" s="1">
        <v>167.93</v>
      </c>
      <c r="AT381" s="3">
        <v>38.623899999999999</v>
      </c>
      <c r="AU381" s="16">
        <v>0</v>
      </c>
      <c r="AV381" s="3">
        <v>4</v>
      </c>
      <c r="AW381" s="3">
        <v>7</v>
      </c>
    </row>
    <row r="382" spans="17:49" x14ac:dyDescent="0.35">
      <c r="Q382" t="s">
        <v>400</v>
      </c>
      <c r="R382" s="67">
        <v>19.7</v>
      </c>
      <c r="U382" s="3" t="str">
        <v>Nu-Dell EZ-Mount Plastic Wall Frames</v>
      </c>
      <c r="V382" s="1">
        <v>19.7</v>
      </c>
      <c r="W382" s="1">
        <v>0</v>
      </c>
      <c r="X382" s="1"/>
      <c r="Y382" s="1"/>
      <c r="AC382" s="3" t="str">
        <f t="shared" si="17"/>
        <v/>
      </c>
      <c r="AE382" s="1"/>
      <c r="AF382" s="1"/>
      <c r="AG382" s="1"/>
      <c r="AK382" t="s">
        <v>491</v>
      </c>
      <c r="AL382" s="67">
        <v>84.84</v>
      </c>
      <c r="AM382" s="67">
        <v>22.058399999999999</v>
      </c>
      <c r="AN382" s="55">
        <v>0</v>
      </c>
      <c r="AO382" s="69">
        <v>2</v>
      </c>
      <c r="AP382" s="69">
        <v>6</v>
      </c>
      <c r="AR382" s="3" t="str">
        <v>Westinghouse Mesh Shade Clip-On Gooseneck Lamp, Black</v>
      </c>
      <c r="AS382" s="1">
        <v>84.84</v>
      </c>
      <c r="AT382" s="3">
        <v>22.058399999999999</v>
      </c>
      <c r="AU382" s="16">
        <v>0</v>
      </c>
      <c r="AV382" s="3">
        <v>2</v>
      </c>
      <c r="AW382" s="3">
        <v>6</v>
      </c>
    </row>
    <row r="383" spans="17:49" x14ac:dyDescent="0.35">
      <c r="AC383" s="3" t="str">
        <f t="shared" si="17"/>
        <v/>
      </c>
    </row>
  </sheetData>
  <sheetProtection algorithmName="SHA-512" hashValue="So+rA/X5UN1XqBl6E1DmW6ECL0ayQM3eZK/gkivXiiYCck9EcLXcAhKoIqU/VX737h0ELB8OhDqr81o4cXd9mA==" saltValue="Us7nyG39kydP12UxTbJeDA==" spinCount="100000" scenarios="1" autoFilter="0" pivotTables="0"/>
  <mergeCells count="12">
    <mergeCell ref="AK1:BF1"/>
    <mergeCell ref="I54:J54"/>
    <mergeCell ref="Q1:AG1"/>
    <mergeCell ref="BJ1:BL1"/>
    <mergeCell ref="B1:E1"/>
    <mergeCell ref="H1:I1"/>
    <mergeCell ref="J9:K9"/>
    <mergeCell ref="E54:F54"/>
    <mergeCell ref="B16:E16"/>
    <mergeCell ref="F40:L40"/>
    <mergeCell ref="B31:G31"/>
    <mergeCell ref="G10:H10"/>
  </mergeCells>
  <phoneticPr fontId="11" type="noConversion"/>
  <conditionalFormatting sqref="G33">
    <cfRule type="expression" dxfId="37" priority="1">
      <formula>$G$33&gt;=27%</formula>
    </cfRule>
    <cfRule type="expression" dxfId="36" priority="2">
      <formula>"AND($G$33&gt;=9%,$G$33&lt;12%)"</formula>
    </cfRule>
    <cfRule type="expression" dxfId="35" priority="3">
      <formula>AND($G$33&gt;=6%,$G$33&lt;9%)</formula>
    </cfRule>
    <cfRule type="expression" dxfId="34" priority="4">
      <formula>$G$33&gt;=6%</formula>
    </cfRule>
  </conditionalFormatting>
  <pageMargins left="0.7" right="0.7" top="0.75" bottom="0.75" header="0.3" footer="0.3"/>
  <pageSetup paperSize="9" orientation="portrait" r:id="rId12"/>
  <drawing r:id="rId13"/>
  <tableParts count="1">
    <tablePart r:id="rId1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Props1.xml><?xml version="1.0" encoding="utf-8"?>
<ds:datastoreItem xmlns:ds="http://schemas.openxmlformats.org/officeDocument/2006/customXml" ds:itemID="{C07DFFE5-0989-498D-8307-714713FC50B3}">
  <ds:schemaRefs/>
</ds:datastoreItem>
</file>

<file path=customXml/itemProps2.xml><?xml version="1.0" encoding="utf-8"?>
<ds:datastoreItem xmlns:ds="http://schemas.openxmlformats.org/officeDocument/2006/customXml" ds:itemID="{50D44FE4-6AFA-4656-A9CB-76D2DCCFD3E6}">
  <ds:schemaRefs/>
</ds:datastoreItem>
</file>

<file path=customXml/itemProps3.xml><?xml version="1.0" encoding="utf-8"?>
<ds:datastoreItem xmlns:ds="http://schemas.openxmlformats.org/officeDocument/2006/customXml" ds:itemID="{BCC41D9F-1A1B-46F6-83F3-1F563E2C07F2}">
  <ds:schemaRefs/>
</ds:datastoreItem>
</file>

<file path=customXml/itemProps4.xml><?xml version="1.0" encoding="utf-8"?>
<ds:datastoreItem xmlns:ds="http://schemas.openxmlformats.org/officeDocument/2006/customXml" ds:itemID="{212FCF65-0052-4530-A752-BA8EB89573D3}">
  <ds:schemaRefs/>
</ds:datastoreItem>
</file>

<file path=customXml/itemProps5.xml><?xml version="1.0" encoding="utf-8"?>
<ds:datastoreItem xmlns:ds="http://schemas.openxmlformats.org/officeDocument/2006/customXml" ds:itemID="{BB440E04-8FB5-4141-8E98-652F08C39DB9}">
  <ds:schemaRefs/>
</ds:datastoreItem>
</file>

<file path=customXml/itemProps6.xml><?xml version="1.0" encoding="utf-8"?>
<ds:datastoreItem xmlns:ds="http://schemas.openxmlformats.org/officeDocument/2006/customXml" ds:itemID="{71F74EF8-453C-4274-B227-18505F3D92A6}">
  <ds:schemaRefs/>
</ds:datastoreItem>
</file>

<file path=customXml/itemProps7.xml><?xml version="1.0" encoding="utf-8"?>
<ds:datastoreItem xmlns:ds="http://schemas.openxmlformats.org/officeDocument/2006/customXml" ds:itemID="{3CBDB530-5BDA-4AD8-A540-6756802BE081}">
  <ds:schemaRefs/>
</ds:datastoreItem>
</file>

<file path=customXml/itemProps8.xml><?xml version="1.0" encoding="utf-8"?>
<ds:datastoreItem xmlns:ds="http://schemas.openxmlformats.org/officeDocument/2006/customXml" ds:itemID="{A5328FBE-17C1-4242-8C33-938D5EE01BF3}">
  <ds:schemaRefs/>
</ds:datastoreItem>
</file>

<file path=customXml/itemProps9.xml><?xml version="1.0" encoding="utf-8"?>
<ds:datastoreItem xmlns:ds="http://schemas.openxmlformats.org/officeDocument/2006/customXml" ds:itemID="{17788811-A910-4B09-855E-CBFB5B7958BF}">
  <ds:schemaRefs/>
</ds:datastoreItem>
</file>

<file path=customXml/itemProps10.xml><?xml version="1.0" encoding="utf-8"?>
<ds:datastoreItem xmlns:ds="http://schemas.openxmlformats.org/officeDocument/2006/customXml" ds:itemID="{F7039563-2551-4BC3-B915-9F1B3D69BE2E}">
  <ds:schemaRefs/>
</ds:datastoreItem>
</file>

<file path=customXml/itemProps11.xml><?xml version="1.0" encoding="utf-8"?>
<ds:datastoreItem xmlns:ds="http://schemas.openxmlformats.org/officeDocument/2006/customXml" ds:itemID="{C40D0F87-6BFC-4E93-AE7E-26DEB742117A}">
  <ds:schemaRefs/>
</ds:datastoreItem>
</file>

<file path=customXml/itemProps12.xml><?xml version="1.0" encoding="utf-8"?>
<ds:datastoreItem xmlns:ds="http://schemas.openxmlformats.org/officeDocument/2006/customXml" ds:itemID="{3034F0C4-B3CA-41EC-8637-D7867B948A7B}">
  <ds:schemaRefs/>
</ds:datastoreItem>
</file>

<file path=customXml/itemProps13.xml><?xml version="1.0" encoding="utf-8"?>
<ds:datastoreItem xmlns:ds="http://schemas.openxmlformats.org/officeDocument/2006/customXml" ds:itemID="{27C01C09-4DEF-4486-8F1F-5B102C1170FC}">
  <ds:schemaRefs/>
</ds:datastoreItem>
</file>

<file path=customXml/itemProps14.xml><?xml version="1.0" encoding="utf-8"?>
<ds:datastoreItem xmlns:ds="http://schemas.openxmlformats.org/officeDocument/2006/customXml" ds:itemID="{144329D2-119A-4EEF-8282-E32A3DACF191}">
  <ds:schemaRefs/>
</ds:datastoreItem>
</file>

<file path=customXml/itemProps15.xml><?xml version="1.0" encoding="utf-8"?>
<ds:datastoreItem xmlns:ds="http://schemas.openxmlformats.org/officeDocument/2006/customXml" ds:itemID="{E3CAAB81-84DF-47A9-911F-9DE968B45E60}">
  <ds:schemaRefs/>
</ds:datastoreItem>
</file>

<file path=customXml/itemProps16.xml><?xml version="1.0" encoding="utf-8"?>
<ds:datastoreItem xmlns:ds="http://schemas.openxmlformats.org/officeDocument/2006/customXml" ds:itemID="{E8985732-663E-465D-962E-9825D402ECC6}">
  <ds:schemaRefs/>
</ds:datastoreItem>
</file>

<file path=customXml/itemProps17.xml><?xml version="1.0" encoding="utf-8"?>
<ds:datastoreItem xmlns:ds="http://schemas.openxmlformats.org/officeDocument/2006/customXml" ds:itemID="{A035FC70-6343-45B1-97A6-4C563E272AA0}">
  <ds:schemaRefs/>
</ds:datastoreItem>
</file>

<file path=customXml/itemProps18.xml><?xml version="1.0" encoding="utf-8"?>
<ds:datastoreItem xmlns:ds="http://schemas.openxmlformats.org/officeDocument/2006/customXml" ds:itemID="{6F03260F-5A01-414A-B86A-9E8209E1AAFB}">
  <ds:schemaRefs/>
</ds:datastoreItem>
</file>

<file path=customXml/itemProps19.xml><?xml version="1.0" encoding="utf-8"?>
<ds:datastoreItem xmlns:ds="http://schemas.openxmlformats.org/officeDocument/2006/customXml" ds:itemID="{1A19322E-215D-4AD1-8512-6B26C9ADBBE8}">
  <ds:schemaRefs/>
</ds:datastoreItem>
</file>

<file path=customXml/itemProps20.xml><?xml version="1.0" encoding="utf-8"?>
<ds:datastoreItem xmlns:ds="http://schemas.openxmlformats.org/officeDocument/2006/customXml" ds:itemID="{1BB9214A-7307-4FA0-8126-A83356720378}">
  <ds:schemaRefs/>
</ds:datastoreItem>
</file>

<file path=customXml/itemProps21.xml><?xml version="1.0" encoding="utf-8"?>
<ds:datastoreItem xmlns:ds="http://schemas.openxmlformats.org/officeDocument/2006/customXml" ds:itemID="{4A9B5911-CA95-4C9D-BF8D-FE8C4D764DAE}">
  <ds:schemaRefs/>
</ds:datastoreItem>
</file>

<file path=customXml/itemProps22.xml><?xml version="1.0" encoding="utf-8"?>
<ds:datastoreItem xmlns:ds="http://schemas.openxmlformats.org/officeDocument/2006/customXml" ds:itemID="{CC4D68C4-2B2B-42BF-B61D-E01B084134F9}">
  <ds:schemaRefs/>
</ds:datastoreItem>
</file>

<file path=customXml/itemProps23.xml><?xml version="1.0" encoding="utf-8"?>
<ds:datastoreItem xmlns:ds="http://schemas.openxmlformats.org/officeDocument/2006/customXml" ds:itemID="{B3D2C8E9-8F89-40CC-9AA9-512EDA77D65F}">
  <ds:schemaRefs/>
</ds:datastoreItem>
</file>

<file path=customXml/itemProps24.xml><?xml version="1.0" encoding="utf-8"?>
<ds:datastoreItem xmlns:ds="http://schemas.openxmlformats.org/officeDocument/2006/customXml" ds:itemID="{BCA56E3C-5923-47B8-BD2A-757173783762}">
  <ds:schemaRefs/>
</ds:datastoreItem>
</file>

<file path=customXml/itemProps25.xml><?xml version="1.0" encoding="utf-8"?>
<ds:datastoreItem xmlns:ds="http://schemas.openxmlformats.org/officeDocument/2006/customXml" ds:itemID="{0F795C02-6622-4D8F-B6A0-8CFCFAC43D61}">
  <ds:schemaRefs/>
</ds:datastoreItem>
</file>

<file path=customXml/itemProps26.xml><?xml version="1.0" encoding="utf-8"?>
<ds:datastoreItem xmlns:ds="http://schemas.openxmlformats.org/officeDocument/2006/customXml" ds:itemID="{A508791D-B2FB-4404-BBDE-C30063D60434}">
  <ds:schemaRefs/>
</ds:datastoreItem>
</file>

<file path=customXml/itemProps27.xml><?xml version="1.0" encoding="utf-8"?>
<ds:datastoreItem xmlns:ds="http://schemas.openxmlformats.org/officeDocument/2006/customXml" ds:itemID="{9A7B2ACD-692D-4A1E-AA71-170EE079D9B9}">
  <ds:schemaRefs/>
</ds:datastoreItem>
</file>

<file path=customXml/itemProps28.xml><?xml version="1.0" encoding="utf-8"?>
<ds:datastoreItem xmlns:ds="http://schemas.openxmlformats.org/officeDocument/2006/customXml" ds:itemID="{A8F45EEF-0B1C-46B3-9AF9-B10651151BD1}">
  <ds:schemaRefs/>
</ds:datastoreItem>
</file>

<file path=customXml/itemProps29.xml><?xml version="1.0" encoding="utf-8"?>
<ds:datastoreItem xmlns:ds="http://schemas.openxmlformats.org/officeDocument/2006/customXml" ds:itemID="{4FBC1325-F002-450B-831D-66FFDC96B517}">
  <ds:schemaRefs/>
</ds:datastoreItem>
</file>

<file path=customXml/itemProps30.xml><?xml version="1.0" encoding="utf-8"?>
<ds:datastoreItem xmlns:ds="http://schemas.openxmlformats.org/officeDocument/2006/customXml" ds:itemID="{C0A8ED02-1E6C-42FF-B1B2-FF64F100661A}">
  <ds:schemaRefs/>
</ds:datastoreItem>
</file>

<file path=customXml/itemProps31.xml><?xml version="1.0" encoding="utf-8"?>
<ds:datastoreItem xmlns:ds="http://schemas.openxmlformats.org/officeDocument/2006/customXml" ds:itemID="{9BE6BDA0-DA58-413A-BA74-5193A6E1567C}">
  <ds:schemaRefs/>
</ds:datastoreItem>
</file>

<file path=customXml/itemProps32.xml><?xml version="1.0" encoding="utf-8"?>
<ds:datastoreItem xmlns:ds="http://schemas.openxmlformats.org/officeDocument/2006/customXml" ds:itemID="{B9BC6F48-DA5E-474D-B84A-C35A5ADE0C87}">
  <ds:schemaRefs/>
</ds:datastoreItem>
</file>

<file path=customXml/itemProps33.xml><?xml version="1.0" encoding="utf-8"?>
<ds:datastoreItem xmlns:ds="http://schemas.openxmlformats.org/officeDocument/2006/customXml" ds:itemID="{F517899C-564E-417C-BC37-F7237CF60709}">
  <ds:schemaRefs/>
</ds:datastoreItem>
</file>

<file path=customXml/itemProps34.xml><?xml version="1.0" encoding="utf-8"?>
<ds:datastoreItem xmlns:ds="http://schemas.openxmlformats.org/officeDocument/2006/customXml" ds:itemID="{F8308922-619B-4650-880A-CD67FE14C5D9}">
  <ds:schemaRefs/>
</ds:datastoreItem>
</file>

<file path=customXml/itemProps35.xml><?xml version="1.0" encoding="utf-8"?>
<ds:datastoreItem xmlns:ds="http://schemas.openxmlformats.org/officeDocument/2006/customXml" ds:itemID="{948EF283-0F67-46A1-9316-FBD76060A28C}">
  <ds:schemaRefs/>
</ds:datastoreItem>
</file>

<file path=customXml/itemProps36.xml><?xml version="1.0" encoding="utf-8"?>
<ds:datastoreItem xmlns:ds="http://schemas.openxmlformats.org/officeDocument/2006/customXml" ds:itemID="{C4D82383-DB20-4FAB-8E31-9A80766440D6}">
  <ds:schemaRefs/>
</ds:datastoreItem>
</file>

<file path=customXml/itemProps37.xml><?xml version="1.0" encoding="utf-8"?>
<ds:datastoreItem xmlns:ds="http://schemas.openxmlformats.org/officeDocument/2006/customXml" ds:itemID="{B17B51F6-4D2C-4434-B930-04D493B3524A}">
  <ds:schemaRefs/>
</ds:datastoreItem>
</file>

<file path=customXml/itemProps38.xml><?xml version="1.0" encoding="utf-8"?>
<ds:datastoreItem xmlns:ds="http://schemas.openxmlformats.org/officeDocument/2006/customXml" ds:itemID="{EFCE30FA-0B38-4251-AA64-5FE4D0041187}">
  <ds:schemaRefs/>
</ds:datastoreItem>
</file>

<file path=customXml/itemProps39.xml><?xml version="1.0" encoding="utf-8"?>
<ds:datastoreItem xmlns:ds="http://schemas.openxmlformats.org/officeDocument/2006/customXml" ds:itemID="{5FDA2307-9282-4026-99FD-9A025B24C77D}">
  <ds:schemaRefs/>
</ds:datastoreItem>
</file>

<file path=customXml/itemProps40.xml><?xml version="1.0" encoding="utf-8"?>
<ds:datastoreItem xmlns:ds="http://schemas.openxmlformats.org/officeDocument/2006/customXml" ds:itemID="{6E35E95C-5E8F-4DE9-87A4-1168C92B6CFC}">
  <ds:schemaRefs/>
</ds:datastoreItem>
</file>

<file path=customXml/itemProps41.xml><?xml version="1.0" encoding="utf-8"?>
<ds:datastoreItem xmlns:ds="http://schemas.openxmlformats.org/officeDocument/2006/customXml" ds:itemID="{ECD36040-A5F7-4CDF-9EF0-5E13F727D9B4}">
  <ds:schemaRefs/>
</ds:datastoreItem>
</file>

<file path=customXml/itemProps42.xml><?xml version="1.0" encoding="utf-8"?>
<ds:datastoreItem xmlns:ds="http://schemas.openxmlformats.org/officeDocument/2006/customXml" ds:itemID="{0A439FB7-6B02-4778-9268-F029D4DECF89}">
  <ds:schemaRefs>
    <ds:schemaRef ds:uri="http://schemas.microsoft.com/DataMashup"/>
  </ds:schemaRefs>
</ds:datastoreItem>
</file>

<file path=customXml/itemProps43.xml><?xml version="1.0" encoding="utf-8"?>
<ds:datastoreItem xmlns:ds="http://schemas.openxmlformats.org/officeDocument/2006/customXml" ds:itemID="{FD558BE2-8664-48D0-B8E9-8F86088C68FB}">
  <ds:schemaRefs/>
</ds:datastoreItem>
</file>

<file path=customXml/itemProps44.xml><?xml version="1.0" encoding="utf-8"?>
<ds:datastoreItem xmlns:ds="http://schemas.openxmlformats.org/officeDocument/2006/customXml" ds:itemID="{DEDE80A7-2775-43FD-8831-E6A1376E3BE1}">
  <ds:schemaRefs/>
</ds:datastoreItem>
</file>

<file path=customXml/itemProps45.xml><?xml version="1.0" encoding="utf-8"?>
<ds:datastoreItem xmlns:ds="http://schemas.openxmlformats.org/officeDocument/2006/customXml" ds:itemID="{3372C732-5267-4EBB-8796-834E6CEE992A}">
  <ds:schemaRefs/>
</ds:datastoreItem>
</file>

<file path=customXml/itemProps46.xml><?xml version="1.0" encoding="utf-8"?>
<ds:datastoreItem xmlns:ds="http://schemas.openxmlformats.org/officeDocument/2006/customXml" ds:itemID="{663C3E2C-A05B-4EC2-B66A-C0F47FCA8DE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Overview</vt:lpstr>
      <vt:lpstr>Performance</vt:lpstr>
      <vt:lpstr>Pivot_Tables</vt:lpstr>
      <vt:lpstr>Pivot_Tables_Performance</vt:lpstr>
      <vt:lpstr>Filter</vt:lpstr>
      <vt:lpstr>Selected_product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Bayan Animal Republic</dc:creator>
  <cp:lastModifiedBy>Bayan Animal Republic</cp:lastModifiedBy>
  <cp:lastPrinted>2025-07-24T21:39:17Z</cp:lastPrinted>
  <dcterms:created xsi:type="dcterms:W3CDTF">2025-06-18T10:48:18Z</dcterms:created>
  <dcterms:modified xsi:type="dcterms:W3CDTF">2025-07-25T21:51:53Z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itLatchSettingsCP.ownerName">
    <vt:lpwstr>bayananirep</vt:lpwstr>
  </property>
  <property fmtid="{D5CDD505-2E9C-101B-9397-08002B2CF9AE}" pid="3" name="GitLatchSettingsCP.repoName">
    <vt:lpwstr>Bayan-Store-Sales-Analysis</vt:lpwstr>
  </property>
  <property fmtid="{D5CDD505-2E9C-101B-9397-08002B2CF9AE}" pid="4" name="GitLatchSettingsCP.branch">
    <vt:lpwstr>gitlatch</vt:lpwstr>
  </property>
  <property fmtid="{D5CDD505-2E9C-101B-9397-08002B2CF9AE}" pid="5" name="GitLatchSettingsCP.path">
    <vt:lpwstr/>
  </property>
  <property fmtid="{D5CDD505-2E9C-101B-9397-08002B2CF9AE}" pid="6" name="GitLatchSettingsCP.fileName">
    <vt:lpwstr/>
  </property>
  <property fmtid="{D5CDD505-2E9C-101B-9397-08002B2CF9AE}" pid="7" name="GitLatchSettingsCP.autoShow">
    <vt:lpwstr>YES</vt:lpwstr>
  </property>
</Properties>
</file>