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2.xml" ContentType="application/vnd.openxmlformats-officedocument.spreadsheetml.table+xml"/>
  <Override PartName="/xl/drawings/drawing3.xml" ContentType="application/vnd.openxmlformats-officedocument.drawing+xml"/>
  <Override PartName="/xl/tables/table23.xml" ContentType="application/vnd.openxmlformats-officedocument.spreadsheetml.table+xml"/>
  <Override PartName="/xl/drawings/drawing4.xml" ContentType="application/vnd.openxmlformats-officedocument.drawing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Prodi/SKP DOSEN PERSYARIKATAN UNMUH JEMBER/"/>
    </mc:Choice>
  </mc:AlternateContent>
  <xr:revisionPtr revIDLastSave="0" documentId="13_ncr:1_{EAF34868-F65E-4B47-A608-5CCD1D247876}" xr6:coauthVersionLast="47" xr6:coauthVersionMax="47" xr10:uidLastSave="{00000000-0000-0000-0000-000000000000}"/>
  <bookViews>
    <workbookView xWindow="0" yWindow="460" windowWidth="27320" windowHeight="13900" tabRatio="780" activeTab="8" xr2:uid="{00000000-000D-0000-FFFF-FFFF00000000}"/>
  </bookViews>
  <sheets>
    <sheet name="ReferensiAk" sheetId="5" r:id="rId1"/>
    <sheet name="TabelUtama" sheetId="1" state="hidden" r:id="rId2"/>
    <sheet name="TabelReferensi" sheetId="29" state="hidden" r:id="rId3"/>
    <sheet name="TabelTurunan3" sheetId="21" state="hidden" r:id="rId4"/>
    <sheet name="Petunjuk Pengisian" sheetId="56" state="hidden" r:id="rId5"/>
    <sheet name="IDENTITAS dan TANGGAL PENETAPAN" sheetId="53" r:id="rId6"/>
    <sheet name="SKP" sheetId="49" r:id="rId7"/>
    <sheet name="PENGUKURAN" sheetId="51" r:id="rId8"/>
    <sheet name="PENILAIAN" sheetId="52" r:id="rId9"/>
    <sheet name="DataIndividu" sheetId="6" state="hidden" r:id="rId10"/>
    <sheet name="TabelUraian" sheetId="48" state="hidden" r:id="rId11"/>
    <sheet name="TabelTurunan" sheetId="4" state="hidden" r:id="rId12"/>
    <sheet name="TUBEL_PENGISIAN" sheetId="55" r:id="rId13"/>
    <sheet name="II.A." sheetId="7" r:id="rId14"/>
    <sheet name="II.BC." sheetId="8" r:id="rId15"/>
    <sheet name="II.DE." sheetId="10" r:id="rId16"/>
    <sheet name="II.F." sheetId="11" r:id="rId17"/>
    <sheet name="II.G." sheetId="12" r:id="rId18"/>
    <sheet name="II.H." sheetId="14" r:id="rId19"/>
    <sheet name="II.I." sheetId="15" r:id="rId20"/>
    <sheet name="II.J." sheetId="16" r:id="rId21"/>
    <sheet name="II.K." sheetId="17" r:id="rId22"/>
    <sheet name="II.L." sheetId="18" r:id="rId23"/>
    <sheet name="II.M." sheetId="19" r:id="rId24"/>
    <sheet name="III.A." sheetId="20" r:id="rId25"/>
    <sheet name="III.B." sheetId="22" r:id="rId26"/>
    <sheet name="III.CDE." sheetId="23" r:id="rId27"/>
    <sheet name="III.F." sheetId="24" r:id="rId28"/>
    <sheet name="III.G." sheetId="25" r:id="rId29"/>
    <sheet name="III.H." sheetId="26" r:id="rId30"/>
    <sheet name="III.I." sheetId="27" r:id="rId31"/>
    <sheet name="DefineName" sheetId="47" state="hidden" r:id="rId32"/>
    <sheet name="IV.A." sheetId="31" r:id="rId33"/>
    <sheet name="IV.B." sheetId="32" r:id="rId34"/>
    <sheet name="IV.C." sheetId="33" r:id="rId35"/>
    <sheet name="IV.D." sheetId="34" r:id="rId36"/>
    <sheet name="IV.E." sheetId="35" r:id="rId37"/>
    <sheet name="IV.F." sheetId="46" r:id="rId38"/>
    <sheet name="IV.G." sheetId="54" r:id="rId39"/>
    <sheet name="V.A." sheetId="36" r:id="rId40"/>
    <sheet name="V.B." sheetId="37" r:id="rId41"/>
    <sheet name="V.C." sheetId="38" r:id="rId42"/>
    <sheet name="V.D." sheetId="39" r:id="rId43"/>
    <sheet name="V.E." sheetId="40" r:id="rId44"/>
    <sheet name="V.F." sheetId="41" r:id="rId45"/>
    <sheet name="V.G." sheetId="42" r:id="rId46"/>
    <sheet name="V.H." sheetId="43" r:id="rId47"/>
    <sheet name="V.I." sheetId="44" r:id="rId48"/>
    <sheet name="V.J." sheetId="45" r:id="rId49"/>
    <sheet name="Sheet1" sheetId="57" r:id="rId50"/>
  </sheets>
  <definedNames>
    <definedName name="__2A1CJ">'II.A.'!$R$10</definedName>
    <definedName name="__2A1CK">'II.A.'!$U$10</definedName>
    <definedName name="__2A1TJ">'II.A.'!$N$10</definedName>
    <definedName name="__2A1TK">'II.A.'!$Q$10</definedName>
    <definedName name="__2A2CJ">'II.A.'!$R$11</definedName>
    <definedName name="__2A2CK">'II.A.'!$U$11</definedName>
    <definedName name="__2A2TJ">'II.A.'!$N$11</definedName>
    <definedName name="__2A2TK">'II.A.'!$Q$11</definedName>
    <definedName name="__2B1CJ">'II.BC.'!$L$10</definedName>
    <definedName name="__2B1CK">'II.BC.'!$M$10</definedName>
    <definedName name="__2B1TJ">'II.BC.'!$J$10</definedName>
    <definedName name="__2B1TK">'II.BC.'!$K$10</definedName>
    <definedName name="__2B2CJ">'II.BC.'!$L$11</definedName>
    <definedName name="__2B2CK">'II.BC.'!$M$11</definedName>
    <definedName name="__2B2TJ">'II.BC.'!$J$11</definedName>
    <definedName name="__2B2TK">'II.BC.'!$K$11</definedName>
    <definedName name="__2C1CJ">'II.BC.'!$P$10</definedName>
    <definedName name="__2C1CK">'II.BC.'!$Q$10</definedName>
    <definedName name="__2C1TJ">'II.BC.'!$N$10</definedName>
    <definedName name="__2C1TK">'II.BC.'!$O$10</definedName>
    <definedName name="__2C2CJ">'II.BC.'!$P$11</definedName>
    <definedName name="__2C2CK">'II.BC.'!$Q$11</definedName>
    <definedName name="__2C2TJ">'II.BC.'!$N$11</definedName>
    <definedName name="__2C2TK">'II.BC.'!$O$11</definedName>
    <definedName name="__2D1CJ">'II.DE.'!$P$11</definedName>
    <definedName name="__2D1CK">'II.DE.'!$Q$11</definedName>
    <definedName name="__2D1TJ">'II.DE.'!$N$11</definedName>
    <definedName name="__2D1TK">'II.DE.'!$O$11</definedName>
    <definedName name="__2D2CJ">'II.DE.'!$P$12</definedName>
    <definedName name="__2D2CK">'II.DE.'!$Q$12</definedName>
    <definedName name="__2D2TJ">'II.DE.'!$N$12</definedName>
    <definedName name="__2D2TK">'II.DE.'!$O$12</definedName>
    <definedName name="__2E1CJ">'II.DE.'!$T$11</definedName>
    <definedName name="__2E1CK">'II.DE.'!$U$11</definedName>
    <definedName name="__2E1TJ">'II.DE.'!$R$11</definedName>
    <definedName name="__2E1TK">'II.DE.'!$S$11</definedName>
    <definedName name="__2E2CJ">'II.DE.'!$T$12</definedName>
    <definedName name="__2E2CK">'II.DE.'!$U$12</definedName>
    <definedName name="__2E2TJ">'II.DE.'!$R$12</definedName>
    <definedName name="__2E2TK">'II.DE.'!$S$12</definedName>
    <definedName name="__2F1CJ">'II.F.'!$K$10</definedName>
    <definedName name="__2F1CK">'II.F.'!$L$10</definedName>
    <definedName name="__2F1TJ">'II.F.'!$I$10</definedName>
    <definedName name="__2F1TK">'II.F.'!$J$10</definedName>
    <definedName name="__2F2CJ">'II.F.'!$K$11</definedName>
    <definedName name="__2F2CK">'II.F.'!$L$11</definedName>
    <definedName name="__2F2TJ">'II.F.'!$I$11</definedName>
    <definedName name="__2F2TK">'II.F.'!$J$11</definedName>
    <definedName name="__2G1CJ">'II.G.'!$K$10</definedName>
    <definedName name="__2G1CK">'II.G.'!$L$10</definedName>
    <definedName name="__2G1TJ">'II.G.'!$I$10</definedName>
    <definedName name="__2G1TK">'II.G.'!$J$10</definedName>
    <definedName name="__2G2CJ">'II.G.'!$K$11</definedName>
    <definedName name="__2G2CK">'II.G.'!$L$11</definedName>
    <definedName name="__2G2TJ">'II.G.'!$I$11</definedName>
    <definedName name="__2G2TK">'II.G.'!$J$11</definedName>
    <definedName name="__2H12CJ">'II.H.'!$L$12</definedName>
    <definedName name="__2H12CK">'II.H.'!$M$12</definedName>
    <definedName name="__2H12TJ">'II.H.'!$J$12</definedName>
    <definedName name="__2H12TK">'II.H.'!$K$12</definedName>
    <definedName name="__2H1CJ">'II.H.'!$L$10</definedName>
    <definedName name="__2H1CK">'II.H.'!$M$10</definedName>
    <definedName name="__2H1TJ">'II.H.'!$J$10</definedName>
    <definedName name="__2H1TK">'II.H.'!$K$10</definedName>
    <definedName name="__2H2CJ">'II.H.'!$L$11</definedName>
    <definedName name="__2H2CK">'II.H.'!$M$11</definedName>
    <definedName name="__2H2TJ">'II.H.'!$J$11</definedName>
    <definedName name="__2H2TK">'II.H.'!$K$11</definedName>
    <definedName name="__2I1CJ">'II.I.'!$K$10</definedName>
    <definedName name="__2I1CK">'II.I.'!$L$10</definedName>
    <definedName name="__2I1TJ">'II.I.'!$I$10</definedName>
    <definedName name="__2I1TK">'II.I.'!$J$10</definedName>
    <definedName name="__2I2CJ">'II.I.'!$K$11</definedName>
    <definedName name="__2I2CK">'II.I.'!$L$11</definedName>
    <definedName name="__2I2TJ">'II.I.'!$I$11</definedName>
    <definedName name="__2I2TK">'II.I.'!$J$11</definedName>
    <definedName name="__2J1CJ">'II.J.'!$L$10</definedName>
    <definedName name="__2J1CK">'II.J.'!$M$10</definedName>
    <definedName name="__2J1TJ">'II.J.'!$J$10</definedName>
    <definedName name="__2J1TK">'II.J.'!$K$10</definedName>
    <definedName name="__2J2CJ">'II.J.'!$L$11</definedName>
    <definedName name="__2J2CK">'II.J.'!$M$11</definedName>
    <definedName name="__2J2TJ">'II.J.'!$J$11</definedName>
    <definedName name="__2J2TK">'II.J.'!$K$11</definedName>
    <definedName name="__2K1CJ">'II.K.'!$L$10</definedName>
    <definedName name="__2K1CK">'II.K.'!$M$10</definedName>
    <definedName name="__2K1TJ">'II.K.'!$J$10</definedName>
    <definedName name="__2K1TK">'II.K.'!$K$10</definedName>
    <definedName name="__2K2CJ">'II.K.'!$L$11</definedName>
    <definedName name="__2K2CK">'II.K.'!$M$11</definedName>
    <definedName name="__2K2TJ">'II.K.'!$J$11</definedName>
    <definedName name="__2K2TK">'II.K.'!$K$11</definedName>
    <definedName name="__2L1CJ">'II.L.'!$L$10</definedName>
    <definedName name="__2L1CK">'II.L.'!$M$10</definedName>
    <definedName name="__2L1TJ">'II.L.'!$J$10</definedName>
    <definedName name="__2L1TK">'II.L.'!$K$10</definedName>
    <definedName name="__2L2CJ">'II.L.'!$L$11</definedName>
    <definedName name="__2L2CK">'II.L.'!$M$11</definedName>
    <definedName name="__2L2TJ">'II.L.'!$J$11</definedName>
    <definedName name="__2L2TK">'II.L.'!$K$11</definedName>
    <definedName name="__2M1CJ">'II.M.'!$L$10</definedName>
    <definedName name="__2M1CK">'II.M.'!$M$10</definedName>
    <definedName name="__2M1TJ">'II.M.'!$J$10</definedName>
    <definedName name="__2M1TK">'II.M.'!$K$10</definedName>
    <definedName name="__2M2CJ">'II.M.'!$L$11</definedName>
    <definedName name="__2M2CK">'II.M.'!$M$11</definedName>
    <definedName name="__2M2TJ">'II.M.'!$J$11</definedName>
    <definedName name="__2M2TK">'II.M.'!$K$11</definedName>
    <definedName name="__3A12CJ">'III.A.'!$J$18</definedName>
    <definedName name="__3A12CK">'III.A.'!$K$18</definedName>
    <definedName name="__3A12TJ">'III.A.'!$H$18</definedName>
    <definedName name="__3A12TK">'III.A.'!$I$18</definedName>
    <definedName name="__3A1CJ">'III.A.'!$J$16</definedName>
    <definedName name="__3A1CK">'III.A.'!$K$16</definedName>
    <definedName name="__3A1TJ">'III.A.'!$H$16</definedName>
    <definedName name="__3A1TK">'III.A.'!$I$16</definedName>
    <definedName name="__3A2CJ">'III.A.'!$J$17</definedName>
    <definedName name="__3A2CK">'III.A.'!$K$17</definedName>
    <definedName name="__3A2TJ">'III.A.'!$H$17</definedName>
    <definedName name="__3A2TK">'III.A.'!$I$17</definedName>
    <definedName name="__3B12CJ">'III.B.'!$J$16</definedName>
    <definedName name="__3B12CK">'III.B.'!$K$16</definedName>
    <definedName name="__3B12TJ">'III.B.'!$H$16</definedName>
    <definedName name="__3B12TK">'III.B.'!$I$16</definedName>
    <definedName name="__3B1CJ">'III.B.'!$J$14</definedName>
    <definedName name="__3B1CK">'III.B.'!$K$14</definedName>
    <definedName name="__3B1TJ">'III.B.'!$H$14</definedName>
    <definedName name="__3B1TK">'III.B.'!$I$14</definedName>
    <definedName name="__3B2CJ">'III.B.'!$J$15</definedName>
    <definedName name="__3B2CK">'III.B.'!$K$15</definedName>
    <definedName name="__3B2TJ">'III.B.'!$H$15</definedName>
    <definedName name="__3B2TK">'III.B.'!$I$15</definedName>
    <definedName name="__3C12CJ">'III.CDE.'!$H$16</definedName>
    <definedName name="__3C12CK">'III.CDE.'!$I$16</definedName>
    <definedName name="__3C12TJ">'III.CDE.'!$F$16</definedName>
    <definedName name="__3C12TK">'III.CDE.'!$G$16</definedName>
    <definedName name="__3C1CJ">'III.CDE.'!$H$14</definedName>
    <definedName name="__3C1CK">'III.CDE.'!$I$14</definedName>
    <definedName name="__3C1TJ">'III.CDE.'!$F$14</definedName>
    <definedName name="__3C1TK">'III.CDE.'!$G$14</definedName>
    <definedName name="__3C2CJ">'III.CDE.'!$H$15</definedName>
    <definedName name="__3C2CK">'III.CDE.'!$I$15</definedName>
    <definedName name="__3C2TJ">'III.CDE.'!$F$15</definedName>
    <definedName name="__3C2TK">'III.CDE.'!$G$15</definedName>
    <definedName name="__3D12CJ">'III.CDE.'!$H$24</definedName>
    <definedName name="__3D12CK">'III.CDE.'!$I$24</definedName>
    <definedName name="__3D12TJ">'III.CDE.'!$F$24</definedName>
    <definedName name="__3D12TK">'III.CDE.'!$G$24</definedName>
    <definedName name="__3D1CJ">'III.CDE.'!$H$22</definedName>
    <definedName name="__3D1CK">'III.CDE.'!$I$22</definedName>
    <definedName name="__3D1TJ">'III.CDE.'!$F$22</definedName>
    <definedName name="__3D1TK">'III.CDE.'!$G$22</definedName>
    <definedName name="__3D2CJ">'III.CDE.'!$H$23</definedName>
    <definedName name="__3D2CK">'III.CDE.'!$I$23</definedName>
    <definedName name="__3D2TJ">'III.CDE.'!$F$23</definedName>
    <definedName name="__3D2TK">'III.CDE.'!$G$23</definedName>
    <definedName name="__3E12CJ">'III.CDE.'!$H$32</definedName>
    <definedName name="__3E12CK">'III.CDE.'!$I$32</definedName>
    <definedName name="__3E12TJ">'III.CDE.'!$F$32</definedName>
    <definedName name="__3E12TK">'III.CDE.'!$G$32</definedName>
    <definedName name="__3E1CJ">'III.CDE.'!$H$30</definedName>
    <definedName name="__3E1CK">'III.CDE.'!$I$30</definedName>
    <definedName name="__3E1TJ">'III.CDE.'!$F$30</definedName>
    <definedName name="__3E1TK">'III.CDE.'!$G$30</definedName>
    <definedName name="__3E2CJ">'III.CDE.'!$H$31</definedName>
    <definedName name="__3E2CK">'III.CDE.'!$I$31</definedName>
    <definedName name="__3E2TJ">'III.CDE.'!$F$31</definedName>
    <definedName name="__3E2TK">'III.CDE.'!$G$31</definedName>
    <definedName name="__3F12CJ">'III.F.'!$H$16</definedName>
    <definedName name="__3F12CK">'III.F.'!$I$16</definedName>
    <definedName name="__3F12TJ">'III.F.'!$F$16</definedName>
    <definedName name="__3F12TK">'III.F.'!$G$16</definedName>
    <definedName name="__3F1CJ">'III.F.'!$H$14</definedName>
    <definedName name="__3F1CK">'III.F.'!$I$14</definedName>
    <definedName name="__3F1TJ">'III.F.'!$F$14</definedName>
    <definedName name="__3F1TK">'III.F.'!$G$14</definedName>
    <definedName name="__3F2CJ">'III.F.'!$H$15</definedName>
    <definedName name="__3F2CK">'III.F.'!$I$15</definedName>
    <definedName name="__3F2TJ">'III.F.'!$F$15</definedName>
    <definedName name="__3F2TK">'III.F.'!$G$15</definedName>
    <definedName name="__3G12CJ">'III.G.'!$H$16</definedName>
    <definedName name="__3G12CK">'III.G.'!$I$16</definedName>
    <definedName name="__3G12TJ">'III.G.'!$F$16</definedName>
    <definedName name="__3G12TK">'III.G.'!$G$16</definedName>
    <definedName name="__3G1CJ">'III.G.'!$H$14</definedName>
    <definedName name="__3G1CK">'III.G.'!$I$14</definedName>
    <definedName name="__3G1TJ">'III.G.'!$F$14</definedName>
    <definedName name="__3G1TK">'III.G.'!$G$14</definedName>
    <definedName name="__3G2CJ">'III.G.'!$H$15</definedName>
    <definedName name="__3G2CK">'III.G.'!$I$15</definedName>
    <definedName name="__3G2TJ">'III.G.'!$F$15</definedName>
    <definedName name="__3G2TK">'III.G.'!$G$15</definedName>
    <definedName name="__3H12CJ">'III.H.'!$J$16</definedName>
    <definedName name="__3H12CK">'III.H.'!$K$16</definedName>
    <definedName name="__3H12TJ">'III.H.'!$H$16</definedName>
    <definedName name="__3H12TK">'III.H.'!$I$16</definedName>
    <definedName name="__3H1CJ">'III.H.'!$J$14</definedName>
    <definedName name="__3H1CK">'III.H.'!$K$14</definedName>
    <definedName name="__3H1TJ">'III.H.'!$H$14</definedName>
    <definedName name="__3H1TK">'III.H.'!$I$14</definedName>
    <definedName name="__3H2CJ">'III.H.'!$J$15</definedName>
    <definedName name="__3H2CK">'III.H.'!$K$15</definedName>
    <definedName name="__3H2TJ">'III.H.'!$H$15</definedName>
    <definedName name="__3H2TK">'III.H.'!$I$15</definedName>
    <definedName name="__3I12CJ">'III.I.'!$J$16</definedName>
    <definedName name="__3I12CK">'III.I.'!$K$16</definedName>
    <definedName name="__3I12TJ">'III.I.'!$H$16</definedName>
    <definedName name="__3I12TK">'III.I.'!$I$16</definedName>
    <definedName name="__3I1CJ">'III.I.'!$J$14</definedName>
    <definedName name="__3I1CK">'III.I.'!$K$14</definedName>
    <definedName name="__3I1TJ">'III.I.'!$H$14</definedName>
    <definedName name="__3I1TK">'III.I.'!$I$14</definedName>
    <definedName name="__3I2CJ">'III.I.'!$J$15</definedName>
    <definedName name="__3I2CK">'III.I.'!$K$15</definedName>
    <definedName name="__3I2TJ">'III.I.'!$H$15</definedName>
    <definedName name="__3I2TK">'III.I.'!$I$15</definedName>
    <definedName name="__4A1CJ">'IV.A.'!$K$10</definedName>
    <definedName name="__4A1CK">'IV.A.'!$L$10</definedName>
    <definedName name="__4A1TJ">'IV.A.'!$I$10</definedName>
    <definedName name="__4A1TK">'IV.A.'!$J$10</definedName>
    <definedName name="__4A2CJ">'IV.A.'!$K$11</definedName>
    <definedName name="__4A2CK">'IV.A.'!$L$11</definedName>
    <definedName name="__4A2TJ">'IV.A.'!$I$11</definedName>
    <definedName name="__4A2TK">'IV.A.'!$J$11</definedName>
    <definedName name="__4B1CJ">'IV.B.'!$K$10</definedName>
    <definedName name="__4B1CK">'IV.B.'!$L$10</definedName>
    <definedName name="__4B1TJ">'IV.B.'!$I$10</definedName>
    <definedName name="__4B1TK">'IV.B.'!$J$10</definedName>
    <definedName name="__4B2CJ">'IV.B.'!$K$11</definedName>
    <definedName name="__4B2CK">'IV.B.'!$L$11</definedName>
    <definedName name="__4B2TJ">'IV.B.'!$I$11</definedName>
    <definedName name="__4B2TK">'IV.B.'!$J$11</definedName>
    <definedName name="__4C12CJ">'IV.C.'!$J$16</definedName>
    <definedName name="__4C12CK">'IV.C.'!$K$16</definedName>
    <definedName name="__4C12TJ">'IV.C.'!$H$16</definedName>
    <definedName name="__4C12TK">'IV.C.'!$I$16</definedName>
    <definedName name="__4C1CJ">'IV.C.'!$J$14</definedName>
    <definedName name="__4C1CK">'IV.C.'!$K$14</definedName>
    <definedName name="__4C1TJ">'IV.C.'!$H$14</definedName>
    <definedName name="__4C1TK">'IV.C.'!$I$14</definedName>
    <definedName name="__4C2CJ">'IV.C.'!$J$15</definedName>
    <definedName name="__4C2CK">'IV.C.'!$K$15</definedName>
    <definedName name="__4C2TJ">'IV.C.'!$H$15</definedName>
    <definedName name="__4C2TK">'IV.C.'!$I$15</definedName>
    <definedName name="__4D12CJ">'IV.D.'!$H$16</definedName>
    <definedName name="__4D12CK">'IV.D.'!$I$16</definedName>
    <definedName name="__4D12TJ">'IV.D.'!$F$16</definedName>
    <definedName name="__4D12TK">'IV.D.'!$G$16</definedName>
    <definedName name="__4D1CJ">'IV.D.'!$H$14</definedName>
    <definedName name="__4D1CK">'IV.D.'!$I$14</definedName>
    <definedName name="__4D1TJ">'IV.D.'!$F$14</definedName>
    <definedName name="__4D1TK">'IV.D.'!$G$14</definedName>
    <definedName name="__4D2CJ">'IV.D.'!$H$15</definedName>
    <definedName name="__4D2CK">'IV.D.'!$I$15</definedName>
    <definedName name="__4D2TJ">'IV.D.'!$F$15</definedName>
    <definedName name="__4D2TK">'IV.D.'!$G$15</definedName>
    <definedName name="__4E1CJ">'IV.E.'!$K$9</definedName>
    <definedName name="__4E1CK">'IV.E.'!$L$9</definedName>
    <definedName name="__4E1TJ">'IV.E.'!$I$9</definedName>
    <definedName name="__4E1TK">'IV.E.'!$J$9</definedName>
    <definedName name="__4E2CJ">'IV.E.'!$K$10</definedName>
    <definedName name="__4E2CK">'IV.E.'!$L$10</definedName>
    <definedName name="__4E2TJ">'IV.E.'!$I$10</definedName>
    <definedName name="__4E2TK">'IV.E.'!$J$10</definedName>
    <definedName name="__4F1CJ">'IV.F.'!$K$10</definedName>
    <definedName name="__4F1CK">'IV.F.'!$L$10</definedName>
    <definedName name="__4F1TJ">'IV.F.'!$I$10</definedName>
    <definedName name="__4F1TK">'IV.F.'!$J$10</definedName>
    <definedName name="__4F2CJ">'IV.F.'!$K$11</definedName>
    <definedName name="__4F2CK">'IV.F.'!$L$11</definedName>
    <definedName name="__4F2TJ">'IV.F.'!$I$11</definedName>
    <definedName name="__4F2TK">'IV.F.'!$J$11</definedName>
    <definedName name="__4G12CJ">'IV.G.'!$H$16</definedName>
    <definedName name="__4G12CK">'IV.G.'!$I$16</definedName>
    <definedName name="__4G12TJ">'IV.G.'!$F$16</definedName>
    <definedName name="__4G12TK">'IV.G.'!$G$16</definedName>
    <definedName name="__4G1CJ">'IV.G.'!$H$14</definedName>
    <definedName name="__4G1CK">'IV.G.'!$I$14</definedName>
    <definedName name="__4G1TJ">'IV.G.'!$F$14</definedName>
    <definedName name="__4G1TK">'IV.G.'!$G$14</definedName>
    <definedName name="__4G2CJ">'IV.G.'!$H$15</definedName>
    <definedName name="__4G2CK">'IV.G.'!$I$15</definedName>
    <definedName name="__4G2TJ">'IV.G.'!$F$15</definedName>
    <definedName name="__4G2TK">'IV.G.'!$G$15</definedName>
    <definedName name="__5A12CJ">'V.A.'!$H$16</definedName>
    <definedName name="__5A12CK">'V.A.'!$I$16</definedName>
    <definedName name="__5A12TJ">'V.A.'!$F$16</definedName>
    <definedName name="__5A12TK">'V.A.'!$G$16</definedName>
    <definedName name="__5A1CJ">'V.A.'!$H$14</definedName>
    <definedName name="__5A1CK">'V.A.'!$I$14</definedName>
    <definedName name="__5A1TJ">'V.A.'!$F$14</definedName>
    <definedName name="__5A1TK">'V.A.'!$G$14</definedName>
    <definedName name="__5A2CJ">'V.A.'!$H$15</definedName>
    <definedName name="__5A2CK">'V.A.'!$I$15</definedName>
    <definedName name="__5A2TJ">'V.A.'!$F$15</definedName>
    <definedName name="__5A2TK">'V.A.'!$G$15</definedName>
    <definedName name="__5B12CJ">'V.B.'!$J$16</definedName>
    <definedName name="__5B12CK">'V.B.'!$K$16</definedName>
    <definedName name="__5B12TJ">'V.B.'!$H$16</definedName>
    <definedName name="__5B12TK">'V.B.'!$I$16</definedName>
    <definedName name="__5B1CJ">'V.B.'!$J$14</definedName>
    <definedName name="__5B1CK">'V.B.'!$K$14</definedName>
    <definedName name="__5B1TJ">'V.B.'!$H$14</definedName>
    <definedName name="__5B1TK">'V.B.'!$I$14</definedName>
    <definedName name="__5B2CJ">'V.B.'!$J$15</definedName>
    <definedName name="__5B2CK">'V.B.'!$K$15</definedName>
    <definedName name="__5B2TJ">'V.B.'!$H$15</definedName>
    <definedName name="__5B2TK">'V.B.'!$I$15</definedName>
    <definedName name="__5C12CJ">'V.C.'!$J$16</definedName>
    <definedName name="__5C12CK">'V.C.'!$K$16</definedName>
    <definedName name="__5C12TJ">'V.C.'!$H$16</definedName>
    <definedName name="__5C12TK">'V.C.'!$I$16</definedName>
    <definedName name="__5C1CJ">'V.C.'!$J$14</definedName>
    <definedName name="__5C1CK">'V.C.'!$K$14</definedName>
    <definedName name="__5C1TJ">'V.C.'!$H$14</definedName>
    <definedName name="__5C1TK">'V.C.'!$I$14</definedName>
    <definedName name="__5C2CJ">'V.C.'!$J$15</definedName>
    <definedName name="__5C2CK">'V.C.'!$K$15</definedName>
    <definedName name="__5C2TJ">'V.C.'!$H$15</definedName>
    <definedName name="__5C2TK">'V.C.'!$I$15</definedName>
    <definedName name="__5D1CJ">'V.D.'!$K$10</definedName>
    <definedName name="__5D1CK">'V.D.'!$L$10</definedName>
    <definedName name="__5D1TJ">'V.D.'!$I$10</definedName>
    <definedName name="__5D1TK">'V.D.'!$J$10</definedName>
    <definedName name="__5D2CJ">'V.D.'!$K$11</definedName>
    <definedName name="__5D2CK">'V.D.'!$L$11</definedName>
    <definedName name="__5D2TJ">'V.D.'!$I$11</definedName>
    <definedName name="__5D2TK">'V.D.'!$J$11</definedName>
    <definedName name="__5E12CJ">'V.E.'!$H$16</definedName>
    <definedName name="__5E12CK">'V.E.'!$I$16</definedName>
    <definedName name="__5E12TJ">'V.E.'!$F$16</definedName>
    <definedName name="__5E12TK">'V.E.'!$G$16</definedName>
    <definedName name="__5E1CJ">'V.E.'!$H$14</definedName>
    <definedName name="__5E1CK">'V.E.'!$I$14</definedName>
    <definedName name="__5E1TJ">'V.E.'!$F$14</definedName>
    <definedName name="__5E1TK">'V.E.'!$G$14</definedName>
    <definedName name="__5E2CJ">'V.E.'!$H$15</definedName>
    <definedName name="__5E2CK">'V.E.'!$I$15</definedName>
    <definedName name="__5E2TJ">'V.E.'!$F$15</definedName>
    <definedName name="__5E2TK">'V.E.'!$G$15</definedName>
    <definedName name="__5F1CJ">'V.F.'!$J$14</definedName>
    <definedName name="__5F1CK">'V.F.'!$K$14</definedName>
    <definedName name="__5F1TJ">'V.F.'!$H$14</definedName>
    <definedName name="__5F1TK">'V.F.'!$I$14</definedName>
    <definedName name="__5F2CJ">'V.F.'!$J$15</definedName>
    <definedName name="__5F2CK">'V.F.'!$K$15</definedName>
    <definedName name="__5F2TJ">'V.F.'!$H$15</definedName>
    <definedName name="__5F2TK">'V.F.'!$I$15</definedName>
    <definedName name="__5G1CJ">'V.G.'!$H$14</definedName>
    <definedName name="__5G1CK">'V.G.'!$I$14</definedName>
    <definedName name="__5G1TJ">'V.G.'!$F$14</definedName>
    <definedName name="__5G1TK">'V.G.'!$G$14</definedName>
    <definedName name="__5G2CJ">'V.G.'!$H$15</definedName>
    <definedName name="__5G2CK">'V.G.'!$I$15</definedName>
    <definedName name="__5G2TJ">'V.G.'!$F$15</definedName>
    <definedName name="__5G2TK">'V.G.'!$G$15</definedName>
    <definedName name="__5H1CJ">'V.H.'!$H$14</definedName>
    <definedName name="__5H1CK">'V.H.'!$I$14</definedName>
    <definedName name="__5H1TJ">'V.H.'!$F$14</definedName>
    <definedName name="__5H1TK">'V.H.'!$G$14</definedName>
    <definedName name="__5H2CJ">'V.H.'!$H$15</definedName>
    <definedName name="__5H2CK">'V.H.'!$I$15</definedName>
    <definedName name="__5H2TJ">'V.H.'!$F$15</definedName>
    <definedName name="__5H2TK">'V.H.'!$G$15</definedName>
    <definedName name="__5I1CJ">'V.I.'!$H$14</definedName>
    <definedName name="__5I1CK">'V.I.'!$I$14</definedName>
    <definedName name="__5I1TJ">'V.I.'!$F$14</definedName>
    <definedName name="__5I1TK">'V.I.'!$G$14</definedName>
    <definedName name="__5I2CJ">'V.I.'!$H$15</definedName>
    <definedName name="__5I2CK">'V.I.'!$I$15</definedName>
    <definedName name="__5I2TJ">'V.I.'!$F$15</definedName>
    <definedName name="__5I2TK">'V.I.'!$G$15</definedName>
    <definedName name="__5J1CJ">'V.J.'!$K$10</definedName>
    <definedName name="__5J1CK">'V.J.'!$L$10</definedName>
    <definedName name="__5J1TJ">'V.J.'!$I$10</definedName>
    <definedName name="__5J1TK">'V.J.'!$J$10</definedName>
    <definedName name="__5J2CJ">'V.J.'!$K$11</definedName>
    <definedName name="__5J2CK">'V.J.'!$L$11</definedName>
    <definedName name="__5J2TJ">'V.J.'!$I$11</definedName>
    <definedName name="__5J2TK">'V.J.'!$J$11</definedName>
    <definedName name="__identitas_instansi">'IDENTITAS dan TANGGAL PENETAPAN'!#REF!</definedName>
    <definedName name="__identitas_jangka_waktu">'IDENTITAS dan TANGGAL PENETAPAN'!$D$24</definedName>
    <definedName name="__identitas_tgl_capaian">'IDENTITAS dan TANGGAL PENETAPAN'!$D$23</definedName>
    <definedName name="__identitas_tgl_pejabat">'IDENTITAS dan TANGGAL PENETAPAN'!$D$29</definedName>
    <definedName name="__identitas_tgl_penilai">'IDENTITAS dan TANGGAL PENETAPAN'!$D$27</definedName>
    <definedName name="__identitas_tgl_pns">'IDENTITAS dan TANGGAL PENETAPAN'!$D$28</definedName>
    <definedName name="__identitas_tgl_skp">'IDENTITAS dan TANGGAL PENETAPAN'!$D$22</definedName>
    <definedName name="__identitas_unit_kerja">'IDENTITAS dan TANGGAL PENETAPAN'!$D$25</definedName>
    <definedName name="__pejabat_jabatan">'IDENTITAS dan TANGGAL PENETAPAN'!$C$19</definedName>
    <definedName name="__pejabat_nama">'IDENTITAS dan TANGGAL PENETAPAN'!$C$16</definedName>
    <definedName name="__pejabat_nip">'IDENTITAS dan TANGGAL PENETAPAN'!$C$17</definedName>
    <definedName name="__pejabat_pangkat">'IDENTITAS dan TANGGAL PENETAPAN'!$C$18</definedName>
    <definedName name="__pejabat_unit">'IDENTITAS dan TANGGAL PENETAPAN'!$C$20</definedName>
    <definedName name="__pengukuran_final">PENGUKURAN!$AF$29</definedName>
    <definedName name="__pengukuran_final_tubel">TUBEL_PENGISIAN!$L$10</definedName>
    <definedName name="__pengukuran_kreativitas">PENGUKURAN!$AF$28</definedName>
    <definedName name="__pengukuran_tugas_tambahan">PENGUKURAN!$AF$27</definedName>
    <definedName name="__penilai_jabatan">'IDENTITAS dan TANGGAL PENETAPAN'!$C$13</definedName>
    <definedName name="__penilai_nama">'IDENTITAS dan TANGGAL PENETAPAN'!$C$10</definedName>
    <definedName name="__penilai_nip">'IDENTITAS dan TANGGAL PENETAPAN'!$C$11</definedName>
    <definedName name="__penilai_pangkat">'IDENTITAS dan TANGGAL PENETAPAN'!$C$12</definedName>
    <definedName name="__penilai_unit">'IDENTITAS dan TANGGAL PENETAPAN'!$C$14</definedName>
    <definedName name="__pns_ipk">'IDENTITAS dan TANGGAL PENETAPAN'!$E$8</definedName>
    <definedName name="__pns_jabatan">'IDENTITAS dan TANGGAL PENETAPAN'!$C$5</definedName>
    <definedName name="__pns_kedudukan">'IDENTITAS dan TANGGAL PENETAPAN'!$C$8</definedName>
    <definedName name="__pns_nama">'IDENTITAS dan TANGGAL PENETAPAN'!$C$2</definedName>
    <definedName name="__pns_nip">'IDENTITAS dan TANGGAL PENETAPAN'!$C$3</definedName>
    <definedName name="__pns_pangkat">'IDENTITAS dan TANGGAL PENETAPAN'!$C$4</definedName>
    <definedName name="__pns_pendidikan">'IDENTITAS dan TANGGAL PENETAPAN'!$C$6</definedName>
    <definedName name="__pns_unit">'IDENTITAS dan TANGGAL PENETAPAN'!$C$7</definedName>
    <definedName name="_1A1_jabatan">TabTurJabKum_1A1[Jabatan]</definedName>
    <definedName name="_1A2_pendidikan">TabTurDikKum_1A2[Pendidikan]</definedName>
    <definedName name="_1BC1_kegiatan">TabTurKegiatan_1BC1[Kegiatan]</definedName>
    <definedName name="_2A1_diploma">TabTurKewenanganMengajar_2A1[Diploma]</definedName>
    <definedName name="_2A1_doktoral">TabTurKewenanganMengajar_2A1[Doktoral]</definedName>
    <definedName name="_2A1_jabatan">TabTurKewenanganMengajar_2A1[[#All],[Jabatan]]</definedName>
    <definedName name="_2A1_magister">TabTurKewenanganMengajar_2A1[Magister]</definedName>
    <definedName name="_2A1_pendidikan">TabTurKewenanganMengajar_2A1[[#All],[Pendidikan]]</definedName>
    <definedName name="_2A1_sarjana">TabTurKewenanganMengajar_2A1[Sarjana]</definedName>
    <definedName name="_3_isi">OFFSET(TabTur3[[#Headers],[Column1]],MATCH('III.A.'!$A$1,TabTur3[[#All],[Column1]],0)-1,3,COUNTIF(TabTur3[[#All],[Column1]],'III.A.'!$A$1),1)</definedName>
    <definedName name="_3_region_all">TabTur3[[#All],[Column1]]</definedName>
    <definedName name="_3_region_all2">TabTur3[[#All],[Column2]]</definedName>
    <definedName name="_3_region_head">TabTur3[[#Headers],[Column1]]</definedName>
    <definedName name="_3_region_head2">TabTur3[[#Headers],[Column2]]</definedName>
    <definedName name="_3CDE_">INDEX(TabTur3[Column4],MATCH("0.",TabTur3[Column2],0),1)</definedName>
    <definedName name="_3Sub_isi">OFFSET(TabTur3Sub[[#Headers],[Column1]],MATCH('III.A.'!XFD1,TabTur3Sub[[#All],[Column1]],0)-1,3,COUNTIF(TabTur3Sub[[#All],[Column1]],'III.A.'!XFD1),1)</definedName>
    <definedName name="_3Sub_region_all">TabTur3Sub[[#All],[Column1]]</definedName>
    <definedName name="_3Sub_region_head">TabTur3Sub[[#Headers],[Column1]]</definedName>
    <definedName name="_TabRef3_offset_all">TabRef3[[#All],[Column1]]</definedName>
    <definedName name="_TabRef3_offset_head">TabRef3[[#Headers],[Column1]]</definedName>
    <definedName name="_TabRef4_offset_all">TabRef4[[#All],[Column1]]</definedName>
    <definedName name="_TabRef4_offset_head">TabRef4[[#Headers],[Column1]]</definedName>
    <definedName name="_TabTurTubel">TabTurTubel[#All]</definedName>
    <definedName name="DikNext">DataIndividu!$H$3</definedName>
    <definedName name="DikNow">DataIndividu!$C$3</definedName>
    <definedName name="dsd">TabTurJabKum_1A1[[#All],[Jabatan]]</definedName>
    <definedName name="JabNext">DataIndividu!$H$2</definedName>
    <definedName name="JabNow">DataIndividu!$C$2</definedName>
    <definedName name="_xlnm.Print_Area" localSheetId="7">PENGUKURAN!$B$1:$AF$38</definedName>
    <definedName name="_xlnm.Print_Area" localSheetId="8">PENILAIAN!$B$1:$T$54</definedName>
    <definedName name="_xlnm.Print_Area" localSheetId="6">SKP!$B$1:$J$34</definedName>
    <definedName name="TaburUraian">Tabur[Uraian]</definedName>
    <definedName name="TabutBahanAjarIsi">TabutBahanAjar[Bahan Ajar]</definedName>
    <definedName name="TabutBimbinganIsi">TabutBimbingan[Bimbingan]</definedName>
    <definedName name="TabutDetaseringIsi">TabutDetasering[Detasering]</definedName>
    <definedName name="TabutJabatanIsi">TabutJabatan[Jabatan]</definedName>
    <definedName name="TabutKalenderIsi">TabutKalender[Kalender]</definedName>
    <definedName name="TabutKedudukanIsi">TabutKedudukan[Kedudukan]</definedName>
    <definedName name="TabutKepangkatanIsi">TabutKepangkatan[Kepangkatan]</definedName>
    <definedName name="TabutPembimbingIsi">TabutPembimbing[Pembimbing]</definedName>
    <definedName name="TabutPencangkokanIsi">TabutPencangkokan[Pencangkokan]</definedName>
    <definedName name="TabutPendidikanIsi">TabutPendidikan[Pendidikan]</definedName>
    <definedName name="TabutPengujiIsi">TabutPenguji[Penguji]</definedName>
    <definedName name="TabutPilihanIsi">TabutPilihan[Pilihan]</definedName>
    <definedName name="TabutProdiIsi">TabutProdi[Prodi]</definedName>
    <definedName name="TabutStrukturalIsi">TabutStruktural[Struktural]</definedName>
    <definedName name="Ya">TabelUtama!$J$3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51" l="1"/>
  <c r="K24" i="51"/>
  <c r="L24" i="51"/>
  <c r="M24" i="51"/>
  <c r="O24" i="51"/>
  <c r="P24" i="51"/>
  <c r="Q24" i="51"/>
  <c r="B15" i="49"/>
  <c r="D15" i="49"/>
  <c r="E15" i="49"/>
  <c r="F15" i="49"/>
  <c r="G15" i="49"/>
  <c r="H15" i="49"/>
  <c r="I15" i="49"/>
  <c r="J15" i="49"/>
  <c r="E10" i="8"/>
  <c r="F10" i="8" s="1"/>
  <c r="E9" i="8"/>
  <c r="F9" i="8" s="1"/>
  <c r="E8" i="8"/>
  <c r="F8" i="8" s="1"/>
  <c r="C16" i="51" l="1"/>
  <c r="C17" i="51"/>
  <c r="C18" i="51"/>
  <c r="C19" i="51"/>
  <c r="K16" i="51"/>
  <c r="K17" i="51"/>
  <c r="K18" i="51"/>
  <c r="K19" i="51"/>
  <c r="L16" i="51"/>
  <c r="L17" i="51"/>
  <c r="L18" i="51"/>
  <c r="L19" i="51"/>
  <c r="M16" i="51"/>
  <c r="M17" i="51"/>
  <c r="M18" i="51"/>
  <c r="M19" i="51"/>
  <c r="O16" i="51"/>
  <c r="O17" i="51"/>
  <c r="O18" i="51"/>
  <c r="O19" i="51"/>
  <c r="P16" i="51"/>
  <c r="P17" i="51"/>
  <c r="P18" i="51"/>
  <c r="P19" i="51"/>
  <c r="Q16" i="51"/>
  <c r="Q17" i="51"/>
  <c r="Q18" i="51"/>
  <c r="Q19" i="51"/>
  <c r="B24" i="49"/>
  <c r="B24" i="51" s="1"/>
  <c r="D24" i="49"/>
  <c r="D24" i="51" s="1"/>
  <c r="F24" i="49"/>
  <c r="F24" i="51" s="1"/>
  <c r="G24" i="49"/>
  <c r="G24" i="51" s="1"/>
  <c r="W24" i="51" s="1"/>
  <c r="J24" i="49"/>
  <c r="J24" i="51" s="1"/>
  <c r="B23" i="49"/>
  <c r="F23" i="49"/>
  <c r="G23" i="49"/>
  <c r="B22" i="49"/>
  <c r="D22" i="49"/>
  <c r="E22" i="49"/>
  <c r="F22" i="49"/>
  <c r="G22" i="49"/>
  <c r="H22" i="49"/>
  <c r="I22" i="49"/>
  <c r="J22" i="49"/>
  <c r="B21" i="49"/>
  <c r="F21" i="49"/>
  <c r="G21" i="49"/>
  <c r="H21" i="49"/>
  <c r="I21" i="49"/>
  <c r="J21" i="49"/>
  <c r="C23" i="51"/>
  <c r="L23" i="51" s="1"/>
  <c r="B20" i="49"/>
  <c r="B23" i="51" s="1"/>
  <c r="D20" i="49"/>
  <c r="E20" i="49"/>
  <c r="F20" i="49"/>
  <c r="F23" i="51" s="1"/>
  <c r="G20" i="49"/>
  <c r="G23" i="51" s="1"/>
  <c r="W23" i="51" s="1"/>
  <c r="H20" i="49"/>
  <c r="I20" i="49"/>
  <c r="J20" i="49"/>
  <c r="C22" i="51"/>
  <c r="M22" i="51" s="1"/>
  <c r="B19" i="49"/>
  <c r="B22" i="51" s="1"/>
  <c r="F19" i="49"/>
  <c r="F22" i="51" s="1"/>
  <c r="G19" i="49"/>
  <c r="G22" i="51" s="1"/>
  <c r="W22" i="51" s="1"/>
  <c r="I19" i="49"/>
  <c r="I22" i="51" s="1"/>
  <c r="J19" i="49"/>
  <c r="J22" i="51" s="1"/>
  <c r="C21" i="51"/>
  <c r="L21" i="51" s="1"/>
  <c r="B18" i="49"/>
  <c r="B21" i="51" s="1"/>
  <c r="F18" i="49"/>
  <c r="F21" i="51" s="1"/>
  <c r="G18" i="49"/>
  <c r="G21" i="51" s="1"/>
  <c r="W21" i="51" s="1"/>
  <c r="H18" i="49"/>
  <c r="I18" i="49"/>
  <c r="I21" i="51" s="1"/>
  <c r="J18" i="49"/>
  <c r="J21" i="51" s="1"/>
  <c r="D10" i="20" a="1"/>
  <c r="D10" i="20" s="1"/>
  <c r="F10" i="20" s="1" a="1"/>
  <c r="F10" i="20" s="1"/>
  <c r="H10" i="20"/>
  <c r="D9" i="20" a="1"/>
  <c r="D9" i="20" s="1"/>
  <c r="F9" i="20" s="1" a="1"/>
  <c r="F9" i="20" s="1"/>
  <c r="H9" i="20"/>
  <c r="C20" i="51"/>
  <c r="L20" i="51" s="1"/>
  <c r="C15" i="51"/>
  <c r="L15" i="51" s="1"/>
  <c r="B17" i="49"/>
  <c r="B20" i="51" s="1"/>
  <c r="F17" i="49"/>
  <c r="F20" i="51" s="1"/>
  <c r="E17" i="49"/>
  <c r="G17" i="49"/>
  <c r="G20" i="51" s="1"/>
  <c r="W20" i="51" s="1"/>
  <c r="I17" i="49"/>
  <c r="I20" i="51" s="1"/>
  <c r="J17" i="49"/>
  <c r="J20" i="51" s="1"/>
  <c r="B16" i="49"/>
  <c r="B15" i="51" s="1"/>
  <c r="D16" i="49"/>
  <c r="D15" i="51" s="1"/>
  <c r="F16" i="49"/>
  <c r="F15" i="51" s="1"/>
  <c r="G16" i="49"/>
  <c r="G15" i="51" s="1"/>
  <c r="W15" i="51" s="1"/>
  <c r="H16" i="49"/>
  <c r="H15" i="51" s="1"/>
  <c r="I16" i="49"/>
  <c r="I15" i="51" s="1"/>
  <c r="J16" i="49"/>
  <c r="J15" i="51" s="1"/>
  <c r="F10" i="10"/>
  <c r="G10" i="10" a="1"/>
  <c r="G10" i="10" s="1"/>
  <c r="I10" i="10"/>
  <c r="J10" i="10"/>
  <c r="F11" i="10"/>
  <c r="G11" i="10" a="1"/>
  <c r="G11" i="10" s="1"/>
  <c r="I11" i="10"/>
  <c r="J11" i="10"/>
  <c r="F13" i="10"/>
  <c r="G13" i="10" a="1"/>
  <c r="G13" i="10" s="1"/>
  <c r="I13" i="10"/>
  <c r="J13" i="10"/>
  <c r="F12" i="10"/>
  <c r="G12" i="10" a="1"/>
  <c r="G12" i="10" s="1"/>
  <c r="I12" i="10"/>
  <c r="J12" i="10"/>
  <c r="H13" i="7"/>
  <c r="I13" i="7" s="1"/>
  <c r="J13" i="7" a="1"/>
  <c r="J13" i="7" s="1"/>
  <c r="H12" i="7"/>
  <c r="I12" i="7" s="1"/>
  <c r="J12" i="7" a="1"/>
  <c r="J12" i="7" s="1"/>
  <c r="H11" i="7"/>
  <c r="I11" i="7" s="1"/>
  <c r="J11" i="7" a="1"/>
  <c r="J11" i="7" s="1"/>
  <c r="H10" i="7"/>
  <c r="I10" i="7" s="1"/>
  <c r="J10" i="7" a="1"/>
  <c r="J10" i="7" s="1"/>
  <c r="AB24" i="51" l="1"/>
  <c r="AC24" i="51"/>
  <c r="U24" i="51"/>
  <c r="Y24" i="51" s="1"/>
  <c r="J19" i="51"/>
  <c r="I19" i="51"/>
  <c r="G19" i="51"/>
  <c r="W19" i="51" s="1"/>
  <c r="F19" i="51"/>
  <c r="B19" i="51"/>
  <c r="J18" i="51"/>
  <c r="I18" i="51"/>
  <c r="G18" i="51"/>
  <c r="W18" i="51" s="1"/>
  <c r="F18" i="51"/>
  <c r="B18" i="51"/>
  <c r="J17" i="51"/>
  <c r="I17" i="51"/>
  <c r="G17" i="51"/>
  <c r="W17" i="51" s="1"/>
  <c r="F17" i="51"/>
  <c r="B17" i="51"/>
  <c r="J16" i="51"/>
  <c r="I16" i="51"/>
  <c r="G16" i="51"/>
  <c r="W16" i="51" s="1"/>
  <c r="F16" i="51"/>
  <c r="B16" i="51"/>
  <c r="H21" i="51"/>
  <c r="P22" i="51"/>
  <c r="O23" i="51"/>
  <c r="I24" i="49"/>
  <c r="I24" i="51" s="1"/>
  <c r="E24" i="49"/>
  <c r="E24" i="51" s="1"/>
  <c r="H24" i="49"/>
  <c r="H24" i="51" s="1"/>
  <c r="I23" i="49"/>
  <c r="I23" i="51" s="1"/>
  <c r="E23" i="49"/>
  <c r="H23" i="49"/>
  <c r="D23" i="49"/>
  <c r="D23" i="51" s="1"/>
  <c r="J23" i="49"/>
  <c r="J23" i="51" s="1"/>
  <c r="P23" i="51"/>
  <c r="K23" i="51"/>
  <c r="E21" i="49"/>
  <c r="E20" i="51" s="1"/>
  <c r="D21" i="49"/>
  <c r="M23" i="51"/>
  <c r="Q23" i="51"/>
  <c r="L22" i="51"/>
  <c r="Q22" i="51"/>
  <c r="U22" i="51" s="1"/>
  <c r="Y22" i="51" s="1"/>
  <c r="K22" i="51"/>
  <c r="O22" i="51"/>
  <c r="P21" i="51"/>
  <c r="O21" i="51"/>
  <c r="M21" i="51"/>
  <c r="Q21" i="51"/>
  <c r="AC21" i="51" s="1"/>
  <c r="K21" i="51"/>
  <c r="E19" i="49"/>
  <c r="E19" i="51" s="1"/>
  <c r="H19" i="49"/>
  <c r="H19" i="51" s="1"/>
  <c r="D19" i="49"/>
  <c r="D19" i="51" s="1"/>
  <c r="O20" i="51"/>
  <c r="P15" i="51"/>
  <c r="O15" i="51"/>
  <c r="T15" i="51" s="1"/>
  <c r="M15" i="51"/>
  <c r="P20" i="51"/>
  <c r="K20" i="51"/>
  <c r="E18" i="49"/>
  <c r="D18" i="49"/>
  <c r="M20" i="51"/>
  <c r="K15" i="51"/>
  <c r="Q20" i="51"/>
  <c r="U20" i="51" s="1"/>
  <c r="Y20" i="51" s="1"/>
  <c r="I10" i="20"/>
  <c r="I9" i="20"/>
  <c r="Q15" i="51"/>
  <c r="U15" i="51" s="1"/>
  <c r="Y15" i="51" s="1"/>
  <c r="H17" i="49"/>
  <c r="H17" i="51" s="1"/>
  <c r="D17" i="49"/>
  <c r="E16" i="49"/>
  <c r="E15" i="51" s="1"/>
  <c r="R15" i="51" s="1"/>
  <c r="AC22" i="51" l="1"/>
  <c r="T24" i="51"/>
  <c r="Z24" i="51"/>
  <c r="X24" i="51" s="1"/>
  <c r="AA24" i="51"/>
  <c r="V24" i="51"/>
  <c r="R24" i="51"/>
  <c r="E16" i="51"/>
  <c r="R19" i="51"/>
  <c r="V19" i="51"/>
  <c r="U18" i="51"/>
  <c r="Y18" i="51" s="1"/>
  <c r="AB18" i="51"/>
  <c r="AC18" i="51"/>
  <c r="U16" i="51"/>
  <c r="Y16" i="51" s="1"/>
  <c r="AB16" i="51"/>
  <c r="AC16" i="51"/>
  <c r="U19" i="51"/>
  <c r="Y19" i="51" s="1"/>
  <c r="AB19" i="51"/>
  <c r="AC19" i="51"/>
  <c r="H23" i="51"/>
  <c r="T23" i="51" s="1"/>
  <c r="U23" i="51"/>
  <c r="Y23" i="51" s="1"/>
  <c r="E23" i="51"/>
  <c r="R23" i="51" s="1"/>
  <c r="U17" i="51"/>
  <c r="Y17" i="51" s="1"/>
  <c r="AB17" i="51"/>
  <c r="AC17" i="51"/>
  <c r="T21" i="51"/>
  <c r="AA21" i="51"/>
  <c r="Z23" i="51"/>
  <c r="V20" i="51"/>
  <c r="R20" i="51"/>
  <c r="V23" i="51"/>
  <c r="H20" i="51"/>
  <c r="T20" i="51" s="1"/>
  <c r="H16" i="51"/>
  <c r="D21" i="51"/>
  <c r="D17" i="51"/>
  <c r="T17" i="51"/>
  <c r="Z17" i="51"/>
  <c r="AA17" i="51"/>
  <c r="E21" i="51"/>
  <c r="R21" i="51" s="1"/>
  <c r="E17" i="51"/>
  <c r="D22" i="51"/>
  <c r="D18" i="51"/>
  <c r="R16" i="51"/>
  <c r="V16" i="51"/>
  <c r="E22" i="51"/>
  <c r="R22" i="51" s="1"/>
  <c r="E18" i="51"/>
  <c r="D20" i="51"/>
  <c r="D16" i="51"/>
  <c r="H22" i="51"/>
  <c r="T22" i="51" s="1"/>
  <c r="H18" i="51"/>
  <c r="T19" i="51"/>
  <c r="Z19" i="51"/>
  <c r="AA19" i="51"/>
  <c r="AB22" i="51"/>
  <c r="AC23" i="51"/>
  <c r="AB23" i="51"/>
  <c r="Z21" i="51"/>
  <c r="X21" i="51" s="1"/>
  <c r="U21" i="51"/>
  <c r="Y21" i="51" s="1"/>
  <c r="AB21" i="51"/>
  <c r="Z15" i="51"/>
  <c r="X15" i="51" s="1"/>
  <c r="AA15" i="51"/>
  <c r="AC15" i="51"/>
  <c r="AC20" i="51"/>
  <c r="AB20" i="51"/>
  <c r="V15" i="51"/>
  <c r="AB15" i="51"/>
  <c r="AD24" i="51" l="1"/>
  <c r="AE24" i="51" s="1"/>
  <c r="AF24" i="51" s="1"/>
  <c r="AA23" i="51"/>
  <c r="AA22" i="51"/>
  <c r="V22" i="51"/>
  <c r="Z22" i="51"/>
  <c r="AA20" i="51"/>
  <c r="Z20" i="51"/>
  <c r="V21" i="51"/>
  <c r="AD21" i="51" s="1"/>
  <c r="AE21" i="51" s="1"/>
  <c r="AF21" i="51" s="1"/>
  <c r="X23" i="51"/>
  <c r="AD23" i="51" s="1"/>
  <c r="AE23" i="51" s="1"/>
  <c r="AF23" i="51" s="1"/>
  <c r="X19" i="51"/>
  <c r="AD19" i="51" s="1"/>
  <c r="AE19" i="51" s="1"/>
  <c r="AF19" i="51" s="1"/>
  <c r="R17" i="51"/>
  <c r="V17" i="51"/>
  <c r="T16" i="51"/>
  <c r="Z16" i="51"/>
  <c r="AA16" i="51"/>
  <c r="T18" i="51"/>
  <c r="Z18" i="51"/>
  <c r="AA18" i="51"/>
  <c r="R18" i="51"/>
  <c r="V18" i="51"/>
  <c r="X17" i="51"/>
  <c r="X22" i="51"/>
  <c r="X20" i="51"/>
  <c r="AD20" i="51" s="1"/>
  <c r="AE20" i="51" s="1"/>
  <c r="AF20" i="51" s="1"/>
  <c r="AD15" i="51"/>
  <c r="AE15" i="51" s="1"/>
  <c r="AF15" i="51" s="1"/>
  <c r="AD22" i="51" l="1"/>
  <c r="AE22" i="51" s="1"/>
  <c r="AF22" i="51" s="1"/>
  <c r="X16" i="51"/>
  <c r="AD16" i="51" s="1"/>
  <c r="AE16" i="51" s="1"/>
  <c r="AF16" i="51" s="1"/>
  <c r="AD17" i="51"/>
  <c r="AE17" i="51" s="1"/>
  <c r="AF17" i="51" s="1"/>
  <c r="X18" i="51"/>
  <c r="AD18" i="51" s="1"/>
  <c r="AE18" i="51" s="1"/>
  <c r="AF18" i="51" s="1"/>
  <c r="C5" i="49"/>
  <c r="K34" i="52" l="1"/>
  <c r="E52" i="52" l="1"/>
  <c r="C47" i="52"/>
  <c r="E42" i="52"/>
  <c r="O38" i="51"/>
  <c r="F33" i="49"/>
  <c r="C33" i="49"/>
  <c r="P41" i="52" l="1"/>
  <c r="G9" i="49"/>
  <c r="F27" i="49"/>
  <c r="H11" i="52" l="1"/>
  <c r="G5" i="52"/>
  <c r="H5" i="52"/>
  <c r="G6" i="52"/>
  <c r="H6" i="52"/>
  <c r="G7" i="52"/>
  <c r="H7" i="52"/>
  <c r="G8" i="52"/>
  <c r="H8" i="52"/>
  <c r="H9" i="52"/>
  <c r="G4" i="52"/>
  <c r="H4" i="52"/>
  <c r="D8" i="53"/>
  <c r="K9" i="55"/>
  <c r="K8" i="55"/>
  <c r="D9" i="55" a="1"/>
  <c r="D9" i="55" s="1"/>
  <c r="E9" i="55" a="1"/>
  <c r="E9" i="55" s="1"/>
  <c r="F9" i="55" a="1"/>
  <c r="F9" i="55" s="1"/>
  <c r="L83" i="4" l="1"/>
  <c r="L84" i="4"/>
  <c r="I83" i="4"/>
  <c r="G8" i="55" s="1" a="1"/>
  <c r="I84" i="4"/>
  <c r="F7" i="55" a="1"/>
  <c r="F7" i="55" s="1"/>
  <c r="F8" i="55" a="1"/>
  <c r="F8" i="55" s="1"/>
  <c r="E7" i="55" a="1"/>
  <c r="E7" i="55" s="1"/>
  <c r="E8" i="55" a="1"/>
  <c r="E8" i="55" s="1"/>
  <c r="D7" i="55" a="1"/>
  <c r="D7" i="55" s="1"/>
  <c r="D8" i="55" a="1"/>
  <c r="D8" i="55" s="1"/>
  <c r="H9" i="55" l="1" a="1"/>
  <c r="G9" i="55" a="1"/>
  <c r="G7" i="55" a="1"/>
  <c r="G7" i="55" s="1"/>
  <c r="H8" i="55" a="1"/>
  <c r="H8" i="55" s="1"/>
  <c r="I8" i="55" s="1" a="1"/>
  <c r="I8" i="55" s="1"/>
  <c r="H7" i="55" a="1"/>
  <c r="H7" i="55" s="1"/>
  <c r="I7" i="55" s="1" a="1"/>
  <c r="I7" i="55" s="1"/>
  <c r="G9" i="55"/>
  <c r="I9" i="55" s="1" a="1"/>
  <c r="I9" i="55" s="1"/>
  <c r="H9" i="55"/>
  <c r="G8" i="55"/>
  <c r="G6" i="49"/>
  <c r="L9" i="55" l="1"/>
  <c r="L8" i="55"/>
  <c r="D8" i="43"/>
  <c r="D7" i="23"/>
  <c r="D8" i="23"/>
  <c r="F8" i="23"/>
  <c r="L10" i="55" l="1"/>
  <c r="G8" i="23"/>
  <c r="E38" i="52" l="1"/>
  <c r="C43" i="52"/>
  <c r="E48" i="52"/>
  <c r="B13" i="49" l="1"/>
  <c r="B14" i="49"/>
  <c r="J13" i="49" l="1"/>
  <c r="J14" i="49"/>
  <c r="I13" i="49"/>
  <c r="I14" i="49"/>
  <c r="H13" i="49"/>
  <c r="G13" i="49"/>
  <c r="G14" i="49"/>
  <c r="F13" i="49"/>
  <c r="F14" i="49"/>
  <c r="E13" i="49"/>
  <c r="D13" i="49"/>
  <c r="D32" i="47" l="1"/>
  <c r="E32" i="47"/>
  <c r="F32" i="47"/>
  <c r="G32" i="47"/>
  <c r="H32" i="47"/>
  <c r="I32" i="47"/>
  <c r="J32" i="47"/>
  <c r="K32" i="47"/>
  <c r="D31" i="47"/>
  <c r="E31" i="47"/>
  <c r="F31" i="47"/>
  <c r="G31" i="47"/>
  <c r="H31" i="47"/>
  <c r="I31" i="47"/>
  <c r="J31" i="47"/>
  <c r="K31" i="47"/>
  <c r="F7" i="54"/>
  <c r="F8" i="54"/>
  <c r="D262" i="29"/>
  <c r="D7" i="45"/>
  <c r="D8" i="45"/>
  <c r="F7" i="44"/>
  <c r="F8" i="44"/>
  <c r="F7" i="43"/>
  <c r="F8" i="43"/>
  <c r="F7" i="42"/>
  <c r="F8" i="42"/>
  <c r="H7" i="41"/>
  <c r="H8" i="41"/>
  <c r="D57" i="29"/>
  <c r="D123" i="29"/>
  <c r="D122" i="29"/>
  <c r="D7" i="54" s="1"/>
  <c r="D121" i="29"/>
  <c r="D39" i="29"/>
  <c r="D38" i="29"/>
  <c r="E16" i="54"/>
  <c r="E15" i="54"/>
  <c r="E14" i="54"/>
  <c r="D8" i="54"/>
  <c r="G7" i="54" l="1"/>
  <c r="H15" i="54"/>
  <c r="K33" i="48" s="1"/>
  <c r="H14" i="54"/>
  <c r="G33" i="48" s="1"/>
  <c r="H16" i="54"/>
  <c r="O33" i="48" s="1"/>
  <c r="G8" i="54"/>
  <c r="F15" i="54"/>
  <c r="I33" i="48" s="1"/>
  <c r="F14" i="54"/>
  <c r="E33" i="48" s="1"/>
  <c r="F16" i="54"/>
  <c r="M33" i="48" s="1"/>
  <c r="F7" i="40"/>
  <c r="F8" i="40"/>
  <c r="H7" i="38"/>
  <c r="H8" i="38"/>
  <c r="H7" i="37"/>
  <c r="H8" i="37"/>
  <c r="F7" i="36"/>
  <c r="F8" i="36"/>
  <c r="F7" i="34"/>
  <c r="F8" i="34"/>
  <c r="H7" i="33"/>
  <c r="H8" i="33"/>
  <c r="L23" i="47"/>
  <c r="M23" i="47"/>
  <c r="N23" i="47"/>
  <c r="O23" i="47"/>
  <c r="L24" i="47"/>
  <c r="M24" i="47"/>
  <c r="N24" i="47"/>
  <c r="O24" i="47"/>
  <c r="L25" i="47"/>
  <c r="M25" i="47"/>
  <c r="N25" i="47"/>
  <c r="O25" i="47"/>
  <c r="H7" i="27"/>
  <c r="H8" i="27"/>
  <c r="H7" i="26"/>
  <c r="H8" i="26"/>
  <c r="F7" i="25"/>
  <c r="F8" i="25"/>
  <c r="L18" i="47"/>
  <c r="M18" i="47"/>
  <c r="N18" i="47"/>
  <c r="O18" i="47"/>
  <c r="L19" i="47"/>
  <c r="M19" i="47"/>
  <c r="N19" i="47"/>
  <c r="O19" i="47"/>
  <c r="L20" i="47"/>
  <c r="M20" i="47"/>
  <c r="N20" i="47"/>
  <c r="O20" i="47"/>
  <c r="L21" i="47"/>
  <c r="M21" i="47"/>
  <c r="N21" i="47"/>
  <c r="O21" i="47"/>
  <c r="L22" i="47"/>
  <c r="M22" i="47"/>
  <c r="N22" i="47"/>
  <c r="O22" i="47"/>
  <c r="F7" i="24"/>
  <c r="F8" i="24"/>
  <c r="F7" i="23"/>
  <c r="H7" i="22"/>
  <c r="H8" i="22"/>
  <c r="L17" i="47"/>
  <c r="M17" i="47"/>
  <c r="N17" i="47"/>
  <c r="O17" i="47"/>
  <c r="H7" i="20"/>
  <c r="I7" i="20" s="1"/>
  <c r="H8" i="20"/>
  <c r="D8" i="20" a="1"/>
  <c r="D8" i="20" s="1"/>
  <c r="Q33" i="48" l="1"/>
  <c r="S33" i="48"/>
  <c r="U33" i="48"/>
  <c r="I14" i="54"/>
  <c r="H33" i="48" s="1"/>
  <c r="G14" i="54"/>
  <c r="F33" i="48" s="1"/>
  <c r="G16" i="54"/>
  <c r="N33" i="48" s="1"/>
  <c r="I15" i="54"/>
  <c r="L33" i="48" s="1"/>
  <c r="I16" i="54"/>
  <c r="P33" i="48" s="1"/>
  <c r="G15" i="54"/>
  <c r="J33" i="48" s="1"/>
  <c r="B29" i="4"/>
  <c r="I17" i="16" s="1"/>
  <c r="B30" i="4"/>
  <c r="I18" i="16" s="1"/>
  <c r="B31" i="4"/>
  <c r="I19" i="16" s="1"/>
  <c r="B32" i="4"/>
  <c r="I20" i="16" s="1"/>
  <c r="B33" i="4"/>
  <c r="I21" i="16" s="1"/>
  <c r="B34" i="4"/>
  <c r="I22" i="16" s="1"/>
  <c r="B35" i="4"/>
  <c r="I23" i="16" s="1"/>
  <c r="B36" i="4"/>
  <c r="I24" i="16" s="1"/>
  <c r="B37" i="4"/>
  <c r="I25" i="16" s="1"/>
  <c r="B38" i="4"/>
  <c r="I26" i="16" s="1"/>
  <c r="B39" i="4"/>
  <c r="I27" i="16" s="1"/>
  <c r="B40" i="4"/>
  <c r="I28" i="16" s="1"/>
  <c r="B41" i="4"/>
  <c r="I29" i="16" s="1"/>
  <c r="B42" i="4"/>
  <c r="I30" i="16" s="1"/>
  <c r="B43" i="4"/>
  <c r="I31" i="16" s="1"/>
  <c r="B44" i="4"/>
  <c r="I32" i="16" s="1"/>
  <c r="B45" i="4"/>
  <c r="I33" i="16" s="1"/>
  <c r="B46" i="4"/>
  <c r="I34" i="16" s="1"/>
  <c r="B47" i="4"/>
  <c r="I35" i="16" s="1"/>
  <c r="B48" i="4"/>
  <c r="I36" i="16" s="1"/>
  <c r="B49" i="4"/>
  <c r="I37" i="16" s="1"/>
  <c r="B50" i="4"/>
  <c r="I38" i="16" s="1"/>
  <c r="B51" i="4"/>
  <c r="I39" i="16" s="1"/>
  <c r="B52" i="4"/>
  <c r="I40" i="16" s="1"/>
  <c r="B28" i="4"/>
  <c r="I16" i="16" s="1"/>
  <c r="R33" i="48" l="1"/>
  <c r="T33" i="48"/>
  <c r="L11" i="47"/>
  <c r="M11" i="47"/>
  <c r="N11" i="47"/>
  <c r="O11" i="47"/>
  <c r="I12" i="14"/>
  <c r="N15" i="14" s="1"/>
  <c r="G8" i="10" l="1" a="1"/>
  <c r="G8" i="10" s="1"/>
  <c r="G9" i="10" a="1"/>
  <c r="G9" i="10" s="1"/>
  <c r="H9" i="7"/>
  <c r="I9" i="7" s="1"/>
  <c r="H8" i="7"/>
  <c r="I8" i="7" s="1"/>
  <c r="J9" i="7" a="1"/>
  <c r="J9" i="7" s="1"/>
  <c r="J8" i="7" a="1"/>
  <c r="J8" i="7" s="1"/>
  <c r="F32" i="49"/>
  <c r="G8" i="49"/>
  <c r="G7" i="49"/>
  <c r="G5" i="49"/>
  <c r="E41" i="52" l="1"/>
  <c r="C46" i="52"/>
  <c r="E51" i="52"/>
  <c r="P53" i="52"/>
  <c r="P52" i="52"/>
  <c r="P51" i="52"/>
  <c r="P50" i="52"/>
  <c r="P49" i="52"/>
  <c r="P47" i="52"/>
  <c r="P46" i="52"/>
  <c r="P45" i="52"/>
  <c r="P44" i="52"/>
  <c r="P43" i="52"/>
  <c r="P40" i="52"/>
  <c r="P39" i="52"/>
  <c r="P38" i="52"/>
  <c r="P37" i="52"/>
  <c r="R35" i="52"/>
  <c r="K35" i="52"/>
  <c r="O32" i="51"/>
  <c r="O37" i="51"/>
  <c r="B9" i="51"/>
  <c r="C32" i="49"/>
  <c r="C9" i="49"/>
  <c r="C8" i="49"/>
  <c r="C7" i="49"/>
  <c r="C6" i="49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C13" i="51" l="1"/>
  <c r="C14" i="51"/>
  <c r="B13" i="51"/>
  <c r="B14" i="51"/>
  <c r="Q14" i="51" l="1"/>
  <c r="P14" i="51"/>
  <c r="M14" i="51"/>
  <c r="K13" i="51"/>
  <c r="Q13" i="51"/>
  <c r="O13" i="51"/>
  <c r="L13" i="51"/>
  <c r="M13" i="51"/>
  <c r="P13" i="51"/>
  <c r="F13" i="51"/>
  <c r="I13" i="51"/>
  <c r="G13" i="51"/>
  <c r="W13" i="51" s="1"/>
  <c r="J13" i="51"/>
  <c r="G14" i="51"/>
  <c r="W14" i="51" s="1"/>
  <c r="J14" i="51"/>
  <c r="F14" i="51"/>
  <c r="I14" i="51"/>
  <c r="U13" i="51" l="1"/>
  <c r="Y13" i="51" s="1"/>
  <c r="U14" i="51"/>
  <c r="Y14" i="51" s="1"/>
  <c r="AB14" i="51"/>
  <c r="AB13" i="51"/>
  <c r="AC13" i="51"/>
  <c r="AC14" i="51"/>
  <c r="D33" i="47" l="1"/>
  <c r="E33" i="47"/>
  <c r="F33" i="47"/>
  <c r="G33" i="47"/>
  <c r="H33" i="47"/>
  <c r="I33" i="47"/>
  <c r="J33" i="47"/>
  <c r="K33" i="47"/>
  <c r="D34" i="47"/>
  <c r="E34" i="47"/>
  <c r="F34" i="47"/>
  <c r="G34" i="47"/>
  <c r="H34" i="47"/>
  <c r="I34" i="47"/>
  <c r="J34" i="47"/>
  <c r="K34" i="47"/>
  <c r="D35" i="47"/>
  <c r="E35" i="47"/>
  <c r="F35" i="47"/>
  <c r="G35" i="47"/>
  <c r="H35" i="47"/>
  <c r="I35" i="47"/>
  <c r="J35" i="47"/>
  <c r="K35" i="47"/>
  <c r="D36" i="47"/>
  <c r="E36" i="47"/>
  <c r="F36" i="47"/>
  <c r="G36" i="47"/>
  <c r="H36" i="47"/>
  <c r="I36" i="47"/>
  <c r="J36" i="47"/>
  <c r="K36" i="47"/>
  <c r="D37" i="47"/>
  <c r="E37" i="47"/>
  <c r="F37" i="47"/>
  <c r="G37" i="47"/>
  <c r="H37" i="47"/>
  <c r="I37" i="47"/>
  <c r="J37" i="47"/>
  <c r="K37" i="47"/>
  <c r="D38" i="47"/>
  <c r="E38" i="47"/>
  <c r="F38" i="47"/>
  <c r="G38" i="47"/>
  <c r="H38" i="47"/>
  <c r="I38" i="47"/>
  <c r="J38" i="47"/>
  <c r="K38" i="47"/>
  <c r="D39" i="47"/>
  <c r="E39" i="47"/>
  <c r="F39" i="47"/>
  <c r="G39" i="47"/>
  <c r="H39" i="47"/>
  <c r="I39" i="47"/>
  <c r="J39" i="47"/>
  <c r="K39" i="47"/>
  <c r="D40" i="47"/>
  <c r="E40" i="47"/>
  <c r="F40" i="47"/>
  <c r="G40" i="47"/>
  <c r="H40" i="47"/>
  <c r="I40" i="47"/>
  <c r="J40" i="47"/>
  <c r="K40" i="47"/>
  <c r="D41" i="47"/>
  <c r="E41" i="47"/>
  <c r="F41" i="47"/>
  <c r="G41" i="47"/>
  <c r="H41" i="47"/>
  <c r="I41" i="47"/>
  <c r="J41" i="47"/>
  <c r="K41" i="47"/>
  <c r="D42" i="47"/>
  <c r="E42" i="47"/>
  <c r="F42" i="47"/>
  <c r="G42" i="47"/>
  <c r="H42" i="47"/>
  <c r="I42" i="47"/>
  <c r="J42" i="47"/>
  <c r="K42" i="47"/>
  <c r="D43" i="47"/>
  <c r="E43" i="47"/>
  <c r="F43" i="47"/>
  <c r="G43" i="47"/>
  <c r="H43" i="47"/>
  <c r="I43" i="47"/>
  <c r="J43" i="47"/>
  <c r="K43" i="47"/>
  <c r="D26" i="47"/>
  <c r="E26" i="47"/>
  <c r="F26" i="47"/>
  <c r="G26" i="47"/>
  <c r="H26" i="47"/>
  <c r="I26" i="47"/>
  <c r="J26" i="47"/>
  <c r="K26" i="47"/>
  <c r="D27" i="47"/>
  <c r="E27" i="47"/>
  <c r="F27" i="47"/>
  <c r="G27" i="47"/>
  <c r="H27" i="47"/>
  <c r="I27" i="47"/>
  <c r="J27" i="47"/>
  <c r="K27" i="47"/>
  <c r="D28" i="47"/>
  <c r="E28" i="47"/>
  <c r="F28" i="47"/>
  <c r="G28" i="47"/>
  <c r="H28" i="47"/>
  <c r="I28" i="47"/>
  <c r="J28" i="47"/>
  <c r="K28" i="47"/>
  <c r="D29" i="47"/>
  <c r="E29" i="47"/>
  <c r="F29" i="47"/>
  <c r="G29" i="47"/>
  <c r="H29" i="47"/>
  <c r="I29" i="47"/>
  <c r="J29" i="47"/>
  <c r="K29" i="47"/>
  <c r="D30" i="47"/>
  <c r="E30" i="47"/>
  <c r="F30" i="47"/>
  <c r="G30" i="47"/>
  <c r="H30" i="47"/>
  <c r="I30" i="47"/>
  <c r="J30" i="47"/>
  <c r="K30" i="47"/>
  <c r="D17" i="47"/>
  <c r="E17" i="47"/>
  <c r="F17" i="47"/>
  <c r="G17" i="47"/>
  <c r="H17" i="47"/>
  <c r="I17" i="47"/>
  <c r="J17" i="47"/>
  <c r="K17" i="47"/>
  <c r="D18" i="47"/>
  <c r="E18" i="47"/>
  <c r="F18" i="47"/>
  <c r="G18" i="47"/>
  <c r="H18" i="47"/>
  <c r="I18" i="47"/>
  <c r="J18" i="47"/>
  <c r="K18" i="47"/>
  <c r="D19" i="47"/>
  <c r="E19" i="47"/>
  <c r="F19" i="47"/>
  <c r="G19" i="47"/>
  <c r="H19" i="47"/>
  <c r="I19" i="47"/>
  <c r="J19" i="47"/>
  <c r="K19" i="47"/>
  <c r="D20" i="47"/>
  <c r="E20" i="47"/>
  <c r="F20" i="47"/>
  <c r="G20" i="47"/>
  <c r="H20" i="47"/>
  <c r="I20" i="47"/>
  <c r="J20" i="47"/>
  <c r="K20" i="47"/>
  <c r="D21" i="47"/>
  <c r="E21" i="47"/>
  <c r="F21" i="47"/>
  <c r="G21" i="47"/>
  <c r="H21" i="47"/>
  <c r="I21" i="47"/>
  <c r="J21" i="47"/>
  <c r="K21" i="47"/>
  <c r="D22" i="47"/>
  <c r="E22" i="47"/>
  <c r="F22" i="47"/>
  <c r="G22" i="47"/>
  <c r="H22" i="47"/>
  <c r="I22" i="47"/>
  <c r="J22" i="47"/>
  <c r="K22" i="47"/>
  <c r="D23" i="47"/>
  <c r="E23" i="47"/>
  <c r="F23" i="47"/>
  <c r="G23" i="47"/>
  <c r="H23" i="47"/>
  <c r="I23" i="47"/>
  <c r="J23" i="47"/>
  <c r="K23" i="47"/>
  <c r="D24" i="47"/>
  <c r="E24" i="47"/>
  <c r="F24" i="47"/>
  <c r="G24" i="47"/>
  <c r="H24" i="47"/>
  <c r="I24" i="47"/>
  <c r="J24" i="47"/>
  <c r="K24" i="47"/>
  <c r="D25" i="47"/>
  <c r="E25" i="47"/>
  <c r="F25" i="47"/>
  <c r="G25" i="47"/>
  <c r="H25" i="47"/>
  <c r="I25" i="47"/>
  <c r="J25" i="47"/>
  <c r="K25" i="47"/>
  <c r="G5" i="47" l="1"/>
  <c r="H5" i="47"/>
  <c r="I5" i="47"/>
  <c r="J5" i="47"/>
  <c r="K5" i="47"/>
  <c r="G6" i="47"/>
  <c r="H6" i="47"/>
  <c r="I6" i="47"/>
  <c r="J6" i="47"/>
  <c r="K6" i="47"/>
  <c r="G7" i="47"/>
  <c r="H7" i="47"/>
  <c r="I7" i="47"/>
  <c r="J7" i="47"/>
  <c r="K7" i="47"/>
  <c r="G8" i="47"/>
  <c r="H8" i="47"/>
  <c r="I8" i="47"/>
  <c r="J8" i="47"/>
  <c r="K8" i="47"/>
  <c r="G9" i="47"/>
  <c r="H9" i="47"/>
  <c r="I9" i="47"/>
  <c r="J9" i="47"/>
  <c r="K9" i="47"/>
  <c r="G10" i="47"/>
  <c r="H10" i="47"/>
  <c r="I10" i="47"/>
  <c r="J10" i="47"/>
  <c r="K10" i="47"/>
  <c r="G11" i="47"/>
  <c r="H11" i="47"/>
  <c r="I11" i="47"/>
  <c r="J11" i="47"/>
  <c r="K11" i="47"/>
  <c r="G12" i="47"/>
  <c r="H12" i="47"/>
  <c r="I12" i="47"/>
  <c r="J12" i="47"/>
  <c r="K12" i="47"/>
  <c r="G13" i="47"/>
  <c r="H13" i="47"/>
  <c r="I13" i="47"/>
  <c r="J13" i="47"/>
  <c r="K13" i="47"/>
  <c r="G14" i="47"/>
  <c r="H14" i="47"/>
  <c r="I14" i="47"/>
  <c r="J14" i="47"/>
  <c r="K14" i="47"/>
  <c r="G15" i="47"/>
  <c r="H15" i="47"/>
  <c r="I15" i="47"/>
  <c r="J15" i="47"/>
  <c r="K15" i="47"/>
  <c r="G16" i="47"/>
  <c r="H16" i="47"/>
  <c r="I16" i="47"/>
  <c r="J16" i="47"/>
  <c r="K16" i="47"/>
  <c r="H4" i="47"/>
  <c r="I4" i="47"/>
  <c r="J4" i="47"/>
  <c r="K4" i="47"/>
  <c r="D5" i="47"/>
  <c r="E5" i="47"/>
  <c r="F5" i="47"/>
  <c r="D6" i="47"/>
  <c r="E6" i="47"/>
  <c r="F6" i="47"/>
  <c r="D7" i="47"/>
  <c r="E7" i="47"/>
  <c r="F7" i="47"/>
  <c r="D8" i="47"/>
  <c r="E8" i="47"/>
  <c r="F8" i="47"/>
  <c r="D9" i="47"/>
  <c r="E9" i="47"/>
  <c r="F9" i="47"/>
  <c r="D10" i="47"/>
  <c r="E10" i="47"/>
  <c r="F10" i="47"/>
  <c r="D11" i="47"/>
  <c r="E11" i="47"/>
  <c r="F11" i="47"/>
  <c r="D12" i="47"/>
  <c r="E12" i="47"/>
  <c r="F12" i="47"/>
  <c r="D13" i="47"/>
  <c r="E13" i="47"/>
  <c r="F13" i="47"/>
  <c r="D14" i="47"/>
  <c r="E14" i="47"/>
  <c r="F14" i="47"/>
  <c r="D15" i="47"/>
  <c r="E15" i="47"/>
  <c r="F15" i="47"/>
  <c r="D16" i="47"/>
  <c r="E16" i="47"/>
  <c r="F16" i="47"/>
  <c r="E4" i="47"/>
  <c r="F4" i="47"/>
  <c r="G4" i="47"/>
  <c r="D4" i="47"/>
  <c r="H11" i="46" l="1"/>
  <c r="H10" i="46"/>
  <c r="D8" i="46"/>
  <c r="E8" i="46" s="1"/>
  <c r="D7" i="46"/>
  <c r="E7" i="46" l="1"/>
  <c r="J10" i="46" s="1"/>
  <c r="F32" i="48" s="1"/>
  <c r="K10" i="46"/>
  <c r="G32" i="48" s="1"/>
  <c r="K11" i="46"/>
  <c r="K32" i="48" s="1"/>
  <c r="I10" i="46"/>
  <c r="E32" i="48" s="1"/>
  <c r="I11" i="46"/>
  <c r="I32" i="48" s="1"/>
  <c r="H11" i="45"/>
  <c r="H10" i="45"/>
  <c r="S32" i="48" l="1"/>
  <c r="Q32" i="48"/>
  <c r="U32" i="48"/>
  <c r="I10" i="45"/>
  <c r="E43" i="48" s="1"/>
  <c r="K10" i="45"/>
  <c r="G43" i="48" s="1"/>
  <c r="I11" i="45"/>
  <c r="I43" i="48" s="1"/>
  <c r="K11" i="45"/>
  <c r="K43" i="48" s="1"/>
  <c r="J11" i="46"/>
  <c r="J32" i="48" s="1"/>
  <c r="R32" i="48" s="1"/>
  <c r="L10" i="46"/>
  <c r="H32" i="48" s="1"/>
  <c r="L11" i="46"/>
  <c r="L32" i="48" s="1"/>
  <c r="E16" i="44"/>
  <c r="E15" i="44"/>
  <c r="E14" i="44"/>
  <c r="T32" i="48" l="1"/>
  <c r="F15" i="44"/>
  <c r="I42" i="48" s="1"/>
  <c r="H15" i="44"/>
  <c r="K42" i="48" s="1"/>
  <c r="H16" i="44"/>
  <c r="F16" i="44"/>
  <c r="F14" i="44"/>
  <c r="E42" i="48" s="1"/>
  <c r="H14" i="44"/>
  <c r="G42" i="48" s="1"/>
  <c r="U43" i="48"/>
  <c r="Q43" i="48"/>
  <c r="S43" i="48"/>
  <c r="E16" i="43"/>
  <c r="E15" i="43"/>
  <c r="E14" i="43"/>
  <c r="H15" i="43" l="1"/>
  <c r="K41" i="48" s="1"/>
  <c r="F15" i="43"/>
  <c r="I41" i="48" s="1"/>
  <c r="F14" i="43"/>
  <c r="E41" i="48" s="1"/>
  <c r="H14" i="43"/>
  <c r="G41" i="48" s="1"/>
  <c r="H16" i="43"/>
  <c r="F16" i="43"/>
  <c r="S42" i="48"/>
  <c r="U42" i="48"/>
  <c r="Q42" i="48"/>
  <c r="E16" i="42"/>
  <c r="E15" i="42"/>
  <c r="E14" i="42"/>
  <c r="H14" i="42" l="1"/>
  <c r="G40" i="48" s="1"/>
  <c r="F14" i="42"/>
  <c r="H15" i="42"/>
  <c r="K40" i="48" s="1"/>
  <c r="F15" i="42"/>
  <c r="I40" i="48" s="1"/>
  <c r="F16" i="42"/>
  <c r="H16" i="42"/>
  <c r="S41" i="48"/>
  <c r="U41" i="48"/>
  <c r="Q41" i="48"/>
  <c r="E40" i="48"/>
  <c r="G16" i="41"/>
  <c r="G15" i="41"/>
  <c r="G14" i="41"/>
  <c r="H16" i="41" l="1"/>
  <c r="J16" i="41"/>
  <c r="J14" i="41"/>
  <c r="G39" i="48" s="1"/>
  <c r="H14" i="41"/>
  <c r="E39" i="48" s="1"/>
  <c r="J15" i="41"/>
  <c r="K39" i="48" s="1"/>
  <c r="H15" i="41"/>
  <c r="I39" i="48" s="1"/>
  <c r="S40" i="48"/>
  <c r="U40" i="48"/>
  <c r="Q40" i="48"/>
  <c r="E16" i="40"/>
  <c r="H16" i="40" s="1"/>
  <c r="O38" i="48" s="1"/>
  <c r="E15" i="40"/>
  <c r="H15" i="40" s="1"/>
  <c r="E14" i="40"/>
  <c r="H14" i="40" s="1"/>
  <c r="H11" i="39"/>
  <c r="H10" i="39"/>
  <c r="D8" i="39"/>
  <c r="D7" i="39"/>
  <c r="G16" i="38"/>
  <c r="J16" i="38" s="1"/>
  <c r="O36" i="48" s="1"/>
  <c r="G15" i="38"/>
  <c r="J15" i="38" s="1"/>
  <c r="G14" i="38"/>
  <c r="J14" i="38" s="1"/>
  <c r="I10" i="39" l="1"/>
  <c r="E37" i="48" s="1"/>
  <c r="K11" i="39"/>
  <c r="K37" i="48" s="1"/>
  <c r="Q39" i="48"/>
  <c r="U39" i="48"/>
  <c r="S39" i="48"/>
  <c r="F14" i="40"/>
  <c r="E38" i="48" s="1"/>
  <c r="K38" i="48"/>
  <c r="F15" i="40"/>
  <c r="I38" i="48" s="1"/>
  <c r="G38" i="48"/>
  <c r="F16" i="40"/>
  <c r="M38" i="48" s="1"/>
  <c r="I11" i="39"/>
  <c r="I37" i="48" s="1"/>
  <c r="K10" i="39"/>
  <c r="H15" i="38"/>
  <c r="I36" i="48" s="1"/>
  <c r="G36" i="48"/>
  <c r="H16" i="38"/>
  <c r="M36" i="48" s="1"/>
  <c r="K36" i="48"/>
  <c r="H14" i="38"/>
  <c r="E36" i="48" s="1"/>
  <c r="G16" i="37"/>
  <c r="J16" i="37" s="1"/>
  <c r="O35" i="48" s="1"/>
  <c r="G15" i="37"/>
  <c r="J15" i="37" s="1"/>
  <c r="G14" i="37"/>
  <c r="J14" i="37" s="1"/>
  <c r="Q37" i="48" l="1"/>
  <c r="U37" i="48"/>
  <c r="S38" i="48"/>
  <c r="U38" i="48"/>
  <c r="Q38" i="48"/>
  <c r="Q36" i="48"/>
  <c r="U36" i="48"/>
  <c r="S36" i="48"/>
  <c r="G37" i="48"/>
  <c r="S37" i="48" s="1"/>
  <c r="H14" i="37"/>
  <c r="E35" i="48" s="1"/>
  <c r="H15" i="37"/>
  <c r="I35" i="48" s="1"/>
  <c r="G35" i="48"/>
  <c r="H16" i="37"/>
  <c r="M35" i="48" s="1"/>
  <c r="K35" i="48"/>
  <c r="E16" i="36"/>
  <c r="H16" i="36" s="1"/>
  <c r="O34" i="48" s="1"/>
  <c r="E15" i="36"/>
  <c r="H15" i="36" s="1"/>
  <c r="E14" i="36"/>
  <c r="H14" i="36" s="1"/>
  <c r="U35" i="48" l="1"/>
  <c r="Q35" i="48"/>
  <c r="S35" i="48"/>
  <c r="F14" i="36"/>
  <c r="E34" i="48" s="1"/>
  <c r="F15" i="36"/>
  <c r="I34" i="48" s="1"/>
  <c r="G34" i="48"/>
  <c r="F16" i="36"/>
  <c r="M34" i="48" s="1"/>
  <c r="K34" i="48"/>
  <c r="H10" i="35"/>
  <c r="H9" i="35"/>
  <c r="D8" i="35"/>
  <c r="D7" i="35"/>
  <c r="K9" i="35" l="1"/>
  <c r="G31" i="48" s="1"/>
  <c r="S34" i="48"/>
  <c r="U34" i="48"/>
  <c r="Q34" i="48"/>
  <c r="K10" i="35"/>
  <c r="I9" i="35"/>
  <c r="E31" i="48" s="1"/>
  <c r="I10" i="35"/>
  <c r="I31" i="48" s="1"/>
  <c r="E16" i="34"/>
  <c r="H16" i="34" s="1"/>
  <c r="O30" i="48" s="1"/>
  <c r="E15" i="34"/>
  <c r="H15" i="34" s="1"/>
  <c r="E14" i="34"/>
  <c r="H14" i="34" s="1"/>
  <c r="U31" i="48" l="1"/>
  <c r="Q31" i="48"/>
  <c r="K31" i="48"/>
  <c r="S31" i="48" s="1"/>
  <c r="F16" i="34"/>
  <c r="M30" i="48" s="1"/>
  <c r="F15" i="34"/>
  <c r="I30" i="48" s="1"/>
  <c r="F14" i="34"/>
  <c r="E30" i="48" s="1"/>
  <c r="G30" i="48"/>
  <c r="K30" i="48"/>
  <c r="G16" i="33"/>
  <c r="J16" i="33" s="1"/>
  <c r="O29" i="48" s="1"/>
  <c r="G15" i="33"/>
  <c r="J15" i="33" s="1"/>
  <c r="G14" i="33"/>
  <c r="J14" i="33" s="1"/>
  <c r="S30" i="48" l="1"/>
  <c r="U30" i="48"/>
  <c r="Q30" i="48"/>
  <c r="H15" i="33"/>
  <c r="I29" i="48" s="1"/>
  <c r="K29" i="48"/>
  <c r="G29" i="48"/>
  <c r="H16" i="33"/>
  <c r="M29" i="48" s="1"/>
  <c r="H14" i="33"/>
  <c r="E29" i="48" s="1"/>
  <c r="H11" i="32"/>
  <c r="H10" i="32"/>
  <c r="D8" i="32"/>
  <c r="D7" i="32"/>
  <c r="U29" i="48" l="1"/>
  <c r="Q29" i="48"/>
  <c r="S29" i="48"/>
  <c r="K10" i="32"/>
  <c r="K11" i="32"/>
  <c r="I11" i="32"/>
  <c r="I28" i="48" s="1"/>
  <c r="I10" i="32"/>
  <c r="E28" i="48" s="1"/>
  <c r="H11" i="31"/>
  <c r="H10" i="31"/>
  <c r="D8" i="31"/>
  <c r="D7" i="31"/>
  <c r="U28" i="48" l="1"/>
  <c r="Q28" i="48"/>
  <c r="K28" i="48"/>
  <c r="G28" i="48"/>
  <c r="I11" i="31"/>
  <c r="I27" i="48" s="1"/>
  <c r="K11" i="31"/>
  <c r="K10" i="31"/>
  <c r="I10" i="31"/>
  <c r="E27" i="48" s="1"/>
  <c r="D296" i="29"/>
  <c r="D295" i="29"/>
  <c r="D294" i="29"/>
  <c r="D293" i="29"/>
  <c r="D292" i="29"/>
  <c r="D291" i="29"/>
  <c r="D290" i="29"/>
  <c r="D289" i="29"/>
  <c r="D288" i="29"/>
  <c r="D287" i="29"/>
  <c r="D286" i="29"/>
  <c r="D285" i="29"/>
  <c r="D284" i="29"/>
  <c r="D283" i="29"/>
  <c r="D282" i="29"/>
  <c r="D281" i="29"/>
  <c r="D280" i="29"/>
  <c r="D264" i="29"/>
  <c r="D263" i="29"/>
  <c r="D279" i="29"/>
  <c r="D278" i="29"/>
  <c r="D277" i="29"/>
  <c r="D276" i="29"/>
  <c r="D275" i="29"/>
  <c r="D274" i="29"/>
  <c r="D273" i="29"/>
  <c r="D272" i="29"/>
  <c r="D271" i="29"/>
  <c r="D270" i="29"/>
  <c r="D269" i="29"/>
  <c r="D268" i="29"/>
  <c r="D267" i="29"/>
  <c r="D266" i="29"/>
  <c r="D265" i="29"/>
  <c r="D261" i="29"/>
  <c r="D260" i="29"/>
  <c r="D259" i="29"/>
  <c r="D258" i="29"/>
  <c r="D257" i="29"/>
  <c r="D256" i="29"/>
  <c r="D255" i="29"/>
  <c r="D254" i="29"/>
  <c r="D253" i="29"/>
  <c r="D252" i="29"/>
  <c r="D251" i="29"/>
  <c r="D250" i="29"/>
  <c r="D249" i="29"/>
  <c r="D248" i="29"/>
  <c r="D247" i="29"/>
  <c r="D246" i="29"/>
  <c r="D245" i="29"/>
  <c r="D244" i="29"/>
  <c r="D243" i="29"/>
  <c r="D242" i="29"/>
  <c r="D241" i="29"/>
  <c r="D240" i="29"/>
  <c r="D239" i="29"/>
  <c r="D238" i="29"/>
  <c r="D237" i="29"/>
  <c r="D236" i="29"/>
  <c r="D235" i="29"/>
  <c r="D234" i="29"/>
  <c r="D233" i="29"/>
  <c r="D232" i="29"/>
  <c r="D231" i="29"/>
  <c r="D230" i="29"/>
  <c r="D229" i="29"/>
  <c r="D228" i="29"/>
  <c r="D227" i="29"/>
  <c r="D226" i="29"/>
  <c r="D225" i="29"/>
  <c r="D224" i="29"/>
  <c r="D223" i="29"/>
  <c r="D222" i="29"/>
  <c r="D221" i="29"/>
  <c r="D220" i="29"/>
  <c r="D219" i="29"/>
  <c r="D218" i="29"/>
  <c r="D217" i="29"/>
  <c r="D216" i="29"/>
  <c r="D215" i="29"/>
  <c r="D214" i="29"/>
  <c r="D213" i="29"/>
  <c r="D212" i="29"/>
  <c r="D211" i="29"/>
  <c r="D210" i="29"/>
  <c r="D209" i="29"/>
  <c r="D208" i="29"/>
  <c r="D207" i="29"/>
  <c r="D206" i="29"/>
  <c r="D205" i="29"/>
  <c r="D204" i="29"/>
  <c r="D203" i="29"/>
  <c r="D202" i="29"/>
  <c r="D201" i="29"/>
  <c r="D200" i="29"/>
  <c r="D199" i="29"/>
  <c r="D198" i="29"/>
  <c r="D197" i="29"/>
  <c r="D196" i="29"/>
  <c r="D195" i="29"/>
  <c r="D194" i="29"/>
  <c r="D193" i="29"/>
  <c r="D192" i="29"/>
  <c r="D191" i="29"/>
  <c r="D190" i="29"/>
  <c r="D189" i="29"/>
  <c r="D188" i="29"/>
  <c r="D187" i="29"/>
  <c r="D186" i="29"/>
  <c r="D185" i="29"/>
  <c r="D184" i="29"/>
  <c r="D183" i="29"/>
  <c r="D182" i="29"/>
  <c r="D181" i="29"/>
  <c r="D180" i="29"/>
  <c r="D179" i="29"/>
  <c r="D178" i="29"/>
  <c r="D177" i="29"/>
  <c r="D176" i="29"/>
  <c r="D175" i="29"/>
  <c r="D174" i="29"/>
  <c r="D173" i="29"/>
  <c r="D172" i="29"/>
  <c r="D171" i="29"/>
  <c r="D170" i="29"/>
  <c r="D169" i="29"/>
  <c r="D168" i="29"/>
  <c r="D167" i="29"/>
  <c r="D166" i="29"/>
  <c r="D165" i="29"/>
  <c r="D164" i="29"/>
  <c r="D163" i="29"/>
  <c r="D162" i="29"/>
  <c r="D161" i="29"/>
  <c r="D160" i="29"/>
  <c r="D159" i="29"/>
  <c r="D158" i="29"/>
  <c r="D157" i="29"/>
  <c r="D147" i="29"/>
  <c r="D146" i="29"/>
  <c r="D145" i="29"/>
  <c r="D8" i="44" s="1"/>
  <c r="G8" i="44" s="1"/>
  <c r="D144" i="29"/>
  <c r="D143" i="29"/>
  <c r="D142" i="29"/>
  <c r="D141" i="29"/>
  <c r="D140" i="29"/>
  <c r="D139" i="29"/>
  <c r="D138" i="29"/>
  <c r="D137" i="29"/>
  <c r="D136" i="29"/>
  <c r="D135" i="29"/>
  <c r="D134" i="29"/>
  <c r="D133" i="29"/>
  <c r="D132" i="29"/>
  <c r="D8" i="40" s="1"/>
  <c r="G8" i="40" s="1"/>
  <c r="D131" i="29"/>
  <c r="D7" i="40" s="1"/>
  <c r="G7" i="40" s="1"/>
  <c r="D130" i="29"/>
  <c r="D129" i="29"/>
  <c r="D128" i="29"/>
  <c r="D127" i="29"/>
  <c r="D126" i="29"/>
  <c r="D125" i="29"/>
  <c r="D124" i="29"/>
  <c r="D7" i="36" s="1"/>
  <c r="G7" i="36" s="1"/>
  <c r="D120" i="29"/>
  <c r="D119" i="29"/>
  <c r="D118" i="29"/>
  <c r="D8" i="34" s="1"/>
  <c r="G8" i="34" s="1"/>
  <c r="D117" i="29"/>
  <c r="D7" i="34" s="1"/>
  <c r="G7" i="34" s="1"/>
  <c r="D116" i="29"/>
  <c r="D115" i="29"/>
  <c r="D114" i="29"/>
  <c r="D113" i="29"/>
  <c r="D112" i="29"/>
  <c r="D111" i="29"/>
  <c r="D110" i="29"/>
  <c r="D109" i="29"/>
  <c r="D108" i="29"/>
  <c r="D107" i="29"/>
  <c r="D106" i="29"/>
  <c r="D105" i="29"/>
  <c r="D104" i="29"/>
  <c r="D103" i="29"/>
  <c r="D102" i="29"/>
  <c r="D101" i="29"/>
  <c r="D100" i="29"/>
  <c r="D99" i="29"/>
  <c r="D98" i="29"/>
  <c r="D97" i="29"/>
  <c r="D96" i="29"/>
  <c r="D95" i="29"/>
  <c r="D94" i="29"/>
  <c r="D93" i="29"/>
  <c r="D92" i="29"/>
  <c r="D91" i="29"/>
  <c r="D90" i="29"/>
  <c r="D89" i="29"/>
  <c r="D88" i="29"/>
  <c r="D87" i="29"/>
  <c r="D86" i="29"/>
  <c r="D85" i="29"/>
  <c r="D84" i="29"/>
  <c r="D83" i="29"/>
  <c r="D82" i="29"/>
  <c r="D81" i="29"/>
  <c r="D80" i="29"/>
  <c r="D79" i="29"/>
  <c r="D78" i="29"/>
  <c r="D77" i="29"/>
  <c r="D76" i="29"/>
  <c r="D75" i="29"/>
  <c r="D74" i="29"/>
  <c r="D73" i="29"/>
  <c r="D72" i="29"/>
  <c r="D71" i="29"/>
  <c r="D70" i="29"/>
  <c r="D69" i="29"/>
  <c r="D68" i="29"/>
  <c r="D67" i="29"/>
  <c r="D66" i="29"/>
  <c r="D65" i="29"/>
  <c r="D64" i="29"/>
  <c r="D63" i="29"/>
  <c r="D62" i="29"/>
  <c r="D61" i="29"/>
  <c r="D60" i="29"/>
  <c r="D59" i="29"/>
  <c r="D58" i="29"/>
  <c r="D49" i="29"/>
  <c r="D48" i="29"/>
  <c r="D47" i="29"/>
  <c r="D46" i="29"/>
  <c r="D45" i="29"/>
  <c r="D44" i="29"/>
  <c r="D43" i="29"/>
  <c r="D42" i="29"/>
  <c r="D41" i="29"/>
  <c r="D40" i="29"/>
  <c r="D37" i="29"/>
  <c r="D36" i="29"/>
  <c r="D35" i="29"/>
  <c r="D34" i="29"/>
  <c r="D33" i="29"/>
  <c r="D32" i="29"/>
  <c r="D31" i="29"/>
  <c r="D30" i="29"/>
  <c r="D29" i="29"/>
  <c r="D28" i="29"/>
  <c r="D27" i="29"/>
  <c r="D26" i="29"/>
  <c r="D25" i="29"/>
  <c r="D24" i="29"/>
  <c r="D23" i="29"/>
  <c r="D22" i="29"/>
  <c r="D21" i="29"/>
  <c r="D20" i="29"/>
  <c r="D19" i="29"/>
  <c r="D18" i="29"/>
  <c r="D17" i="29"/>
  <c r="D16" i="29"/>
  <c r="D15" i="29"/>
  <c r="D14" i="29"/>
  <c r="D13" i="29"/>
  <c r="D12" i="29"/>
  <c r="D11" i="29"/>
  <c r="I3" i="8" l="1"/>
  <c r="B3" i="54"/>
  <c r="B3" i="46"/>
  <c r="B3" i="36"/>
  <c r="E7" i="45"/>
  <c r="E8" i="45"/>
  <c r="D8" i="36"/>
  <c r="G8" i="36" s="1"/>
  <c r="G14" i="36" s="1"/>
  <c r="F34" i="48" s="1"/>
  <c r="I16" i="34"/>
  <c r="P30" i="48" s="1"/>
  <c r="G8" i="43"/>
  <c r="M3" i="10"/>
  <c r="B3" i="7"/>
  <c r="B3" i="19"/>
  <c r="B3" i="26"/>
  <c r="B3" i="37"/>
  <c r="B3" i="10"/>
  <c r="B3" i="11"/>
  <c r="B3" i="16"/>
  <c r="B3" i="22"/>
  <c r="B3" i="20"/>
  <c r="B3" i="27"/>
  <c r="B3" i="32"/>
  <c r="B3" i="38"/>
  <c r="B3" i="43"/>
  <c r="B3" i="42"/>
  <c r="B3" i="12"/>
  <c r="B3" i="17"/>
  <c r="L3" i="23"/>
  <c r="B3" i="24"/>
  <c r="B3" i="31"/>
  <c r="B3" i="44"/>
  <c r="B3" i="45"/>
  <c r="B3" i="35"/>
  <c r="B3" i="39"/>
  <c r="B3" i="41"/>
  <c r="B3" i="8"/>
  <c r="B3" i="14"/>
  <c r="B3" i="18"/>
  <c r="F3" i="23"/>
  <c r="B3" i="25"/>
  <c r="B3" i="34"/>
  <c r="B3" i="40"/>
  <c r="B3" i="15"/>
  <c r="B3" i="23"/>
  <c r="B3" i="33"/>
  <c r="G15" i="34"/>
  <c r="J30" i="48" s="1"/>
  <c r="D7" i="38"/>
  <c r="F7" i="38" s="1" a="1"/>
  <c r="F7" i="38" s="1"/>
  <c r="I7" i="38" s="1"/>
  <c r="D8" i="38"/>
  <c r="F8" i="38" s="1" a="1"/>
  <c r="F8" i="38" s="1"/>
  <c r="I8" i="38" s="1"/>
  <c r="E7" i="32"/>
  <c r="E8" i="32"/>
  <c r="D7" i="41"/>
  <c r="F7" i="41" s="1" a="1"/>
  <c r="F7" i="41" s="1"/>
  <c r="I7" i="41" s="1"/>
  <c r="D8" i="41"/>
  <c r="F8" i="41" s="1" a="1"/>
  <c r="F8" i="41" s="1"/>
  <c r="I8" i="41" s="1"/>
  <c r="E7" i="31"/>
  <c r="D7" i="33"/>
  <c r="F7" i="33" s="1" a="1"/>
  <c r="F7" i="33" s="1"/>
  <c r="I7" i="33" s="1"/>
  <c r="D8" i="37"/>
  <c r="F8" i="37" s="1" a="1"/>
  <c r="F8" i="37" s="1"/>
  <c r="I8" i="37" s="1"/>
  <c r="D7" i="37"/>
  <c r="F7" i="37" s="1" a="1"/>
  <c r="F7" i="37" s="1"/>
  <c r="I7" i="37" s="1"/>
  <c r="E7" i="39"/>
  <c r="E8" i="39"/>
  <c r="D8" i="42"/>
  <c r="G8" i="42" s="1"/>
  <c r="D7" i="44"/>
  <c r="G7" i="44" s="1"/>
  <c r="E8" i="31"/>
  <c r="D8" i="33"/>
  <c r="F8" i="33" s="1" a="1"/>
  <c r="F8" i="33" s="1"/>
  <c r="I8" i="33" s="1"/>
  <c r="E7" i="35"/>
  <c r="E8" i="35"/>
  <c r="G14" i="40"/>
  <c r="F38" i="48" s="1"/>
  <c r="I15" i="40"/>
  <c r="L38" i="48" s="1"/>
  <c r="G16" i="40"/>
  <c r="N38" i="48" s="1"/>
  <c r="I14" i="40"/>
  <c r="H38" i="48" s="1"/>
  <c r="I16" i="40"/>
  <c r="P38" i="48" s="1"/>
  <c r="G15" i="40"/>
  <c r="J38" i="48" s="1"/>
  <c r="D7" i="43"/>
  <c r="G7" i="43" s="1"/>
  <c r="D7" i="42"/>
  <c r="G7" i="42" s="1"/>
  <c r="S28" i="48"/>
  <c r="Q27" i="48"/>
  <c r="U27" i="48"/>
  <c r="G27" i="48"/>
  <c r="K27" i="48"/>
  <c r="G16" i="27"/>
  <c r="J16" i="27" s="1"/>
  <c r="O26" i="48" s="1"/>
  <c r="G15" i="27"/>
  <c r="J15" i="27" s="1"/>
  <c r="G14" i="27"/>
  <c r="J14" i="27" s="1"/>
  <c r="D8" i="27"/>
  <c r="F8" i="27" s="1" a="1"/>
  <c r="F8" i="27" s="1"/>
  <c r="I8" i="27" s="1"/>
  <c r="D7" i="27"/>
  <c r="F7" i="27" s="1" a="1"/>
  <c r="F7" i="27" s="1"/>
  <c r="I7" i="27" s="1"/>
  <c r="I16" i="36" l="1"/>
  <c r="P34" i="48" s="1"/>
  <c r="G16" i="36"/>
  <c r="N34" i="48" s="1"/>
  <c r="G15" i="36"/>
  <c r="J34" i="48" s="1"/>
  <c r="I15" i="36"/>
  <c r="L34" i="48" s="1"/>
  <c r="I14" i="36"/>
  <c r="H34" i="48" s="1"/>
  <c r="G14" i="34"/>
  <c r="F30" i="48" s="1"/>
  <c r="I15" i="34"/>
  <c r="L30" i="48" s="1"/>
  <c r="I14" i="34"/>
  <c r="H30" i="48" s="1"/>
  <c r="T30" i="48" s="1"/>
  <c r="G16" i="34"/>
  <c r="N30" i="48" s="1"/>
  <c r="J11" i="45"/>
  <c r="J43" i="48" s="1"/>
  <c r="L11" i="45"/>
  <c r="L43" i="48" s="1"/>
  <c r="L10" i="45"/>
  <c r="H43" i="48" s="1"/>
  <c r="J10" i="45"/>
  <c r="F43" i="48" s="1"/>
  <c r="I15" i="44"/>
  <c r="L42" i="48" s="1"/>
  <c r="G14" i="44"/>
  <c r="F42" i="48" s="1"/>
  <c r="I16" i="44"/>
  <c r="I14" i="44"/>
  <c r="H42" i="48" s="1"/>
  <c r="G15" i="44"/>
  <c r="J42" i="48" s="1"/>
  <c r="G16" i="44"/>
  <c r="I16" i="43"/>
  <c r="G15" i="43"/>
  <c r="J41" i="48" s="1"/>
  <c r="G14" i="43"/>
  <c r="F41" i="48" s="1"/>
  <c r="I15" i="43"/>
  <c r="L41" i="48" s="1"/>
  <c r="G16" i="43"/>
  <c r="I14" i="43"/>
  <c r="H41" i="48" s="1"/>
  <c r="I16" i="42"/>
  <c r="G14" i="42"/>
  <c r="F40" i="48" s="1"/>
  <c r="I14" i="42"/>
  <c r="H40" i="48" s="1"/>
  <c r="G15" i="42"/>
  <c r="J40" i="48" s="1"/>
  <c r="I15" i="42"/>
  <c r="L40" i="48" s="1"/>
  <c r="G16" i="42"/>
  <c r="I14" i="41"/>
  <c r="F39" i="48" s="1"/>
  <c r="K14" i="41"/>
  <c r="H39" i="48" s="1"/>
  <c r="I15" i="41"/>
  <c r="J39" i="48" s="1"/>
  <c r="K16" i="41"/>
  <c r="I16" i="41"/>
  <c r="K15" i="41"/>
  <c r="L39" i="48" s="1"/>
  <c r="L11" i="31"/>
  <c r="L27" i="48" s="1"/>
  <c r="T38" i="48"/>
  <c r="J11" i="31"/>
  <c r="J27" i="48" s="1"/>
  <c r="J10" i="31"/>
  <c r="F27" i="48" s="1"/>
  <c r="J10" i="32"/>
  <c r="F28" i="48" s="1"/>
  <c r="J11" i="32"/>
  <c r="J28" i="48" s="1"/>
  <c r="L10" i="32"/>
  <c r="H28" i="48" s="1"/>
  <c r="L11" i="32"/>
  <c r="L28" i="48" s="1"/>
  <c r="L11" i="39"/>
  <c r="L37" i="48" s="1"/>
  <c r="J10" i="39"/>
  <c r="F37" i="48" s="1"/>
  <c r="J11" i="39"/>
  <c r="J37" i="48" s="1"/>
  <c r="L10" i="39"/>
  <c r="H37" i="48" s="1"/>
  <c r="L10" i="31"/>
  <c r="H27" i="48" s="1"/>
  <c r="R38" i="48"/>
  <c r="K14" i="33"/>
  <c r="H29" i="48" s="1"/>
  <c r="I16" i="33"/>
  <c r="N29" i="48" s="1"/>
  <c r="K16" i="33"/>
  <c r="P29" i="48" s="1"/>
  <c r="I14" i="33"/>
  <c r="F29" i="48" s="1"/>
  <c r="I15" i="33"/>
  <c r="J29" i="48" s="1"/>
  <c r="K15" i="33"/>
  <c r="L29" i="48" s="1"/>
  <c r="K15" i="38"/>
  <c r="L36" i="48" s="1"/>
  <c r="I16" i="38"/>
  <c r="N36" i="48" s="1"/>
  <c r="I14" i="38"/>
  <c r="F36" i="48" s="1"/>
  <c r="I15" i="38"/>
  <c r="J36" i="48" s="1"/>
  <c r="K16" i="38"/>
  <c r="P36" i="48" s="1"/>
  <c r="K14" i="38"/>
  <c r="H36" i="48" s="1"/>
  <c r="J9" i="35"/>
  <c r="F31" i="48" s="1"/>
  <c r="J10" i="35"/>
  <c r="J31" i="48" s="1"/>
  <c r="L9" i="35"/>
  <c r="H31" i="48" s="1"/>
  <c r="L10" i="35"/>
  <c r="L31" i="48" s="1"/>
  <c r="K15" i="37"/>
  <c r="L35" i="48" s="1"/>
  <c r="I15" i="37"/>
  <c r="J35" i="48" s="1"/>
  <c r="I16" i="37"/>
  <c r="N35" i="48" s="1"/>
  <c r="K16" i="37"/>
  <c r="P35" i="48" s="1"/>
  <c r="K14" i="37"/>
  <c r="H35" i="48" s="1"/>
  <c r="I14" i="37"/>
  <c r="F35" i="48" s="1"/>
  <c r="S27" i="48"/>
  <c r="H15" i="27"/>
  <c r="I26" i="48" s="1"/>
  <c r="H16" i="27"/>
  <c r="M26" i="48" s="1"/>
  <c r="K26" i="48"/>
  <c r="G26" i="48"/>
  <c r="H14" i="27"/>
  <c r="E26" i="48" s="1"/>
  <c r="G16" i="26"/>
  <c r="J16" i="26" s="1"/>
  <c r="O25" i="48" s="1"/>
  <c r="G15" i="26"/>
  <c r="J15" i="26" s="1"/>
  <c r="G14" i="26"/>
  <c r="J14" i="26" s="1"/>
  <c r="D8" i="26"/>
  <c r="F8" i="26" s="1" a="1"/>
  <c r="F8" i="26" s="1"/>
  <c r="I8" i="26" s="1"/>
  <c r="D7" i="26"/>
  <c r="F7" i="26" s="1" a="1"/>
  <c r="F7" i="26" s="1"/>
  <c r="I7" i="26" s="1"/>
  <c r="T34" i="48" l="1"/>
  <c r="R34" i="48"/>
  <c r="R30" i="48"/>
  <c r="R41" i="48"/>
  <c r="T31" i="48"/>
  <c r="T27" i="48"/>
  <c r="R43" i="48"/>
  <c r="T43" i="48"/>
  <c r="T42" i="48"/>
  <c r="R42" i="48"/>
  <c r="T41" i="48"/>
  <c r="T40" i="48"/>
  <c r="R40" i="48"/>
  <c r="T39" i="48"/>
  <c r="R39" i="48"/>
  <c r="T35" i="48"/>
  <c r="T37" i="48"/>
  <c r="R27" i="48"/>
  <c r="R35" i="48"/>
  <c r="R37" i="48"/>
  <c r="T28" i="48"/>
  <c r="R31" i="48"/>
  <c r="R36" i="48"/>
  <c r="T29" i="48"/>
  <c r="R28" i="48"/>
  <c r="T36" i="48"/>
  <c r="R29" i="48"/>
  <c r="S26" i="48"/>
  <c r="U26" i="48"/>
  <c r="Q26" i="48"/>
  <c r="I16" i="27"/>
  <c r="N26" i="48" s="1"/>
  <c r="I14" i="27"/>
  <c r="F26" i="48" s="1"/>
  <c r="K15" i="27"/>
  <c r="L26" i="48" s="1"/>
  <c r="K14" i="27"/>
  <c r="H26" i="48" s="1"/>
  <c r="I15" i="27"/>
  <c r="J26" i="48" s="1"/>
  <c r="K16" i="27"/>
  <c r="P26" i="48" s="1"/>
  <c r="H15" i="26"/>
  <c r="I25" i="48" s="1"/>
  <c r="G25" i="48"/>
  <c r="H16" i="26"/>
  <c r="M25" i="48" s="1"/>
  <c r="K25" i="48"/>
  <c r="H14" i="26"/>
  <c r="E25" i="48" s="1"/>
  <c r="E16" i="25"/>
  <c r="H16" i="25" s="1"/>
  <c r="O24" i="48" s="1"/>
  <c r="E15" i="25"/>
  <c r="H15" i="25" s="1"/>
  <c r="E14" i="25"/>
  <c r="H14" i="25" s="1"/>
  <c r="D8" i="25"/>
  <c r="G8" i="25" s="1"/>
  <c r="D7" i="25"/>
  <c r="G7" i="25" s="1"/>
  <c r="T26" i="48" l="1"/>
  <c r="R26" i="48"/>
  <c r="S25" i="48"/>
  <c r="U25" i="48"/>
  <c r="Q25" i="48"/>
  <c r="F15" i="25"/>
  <c r="I24" i="48" s="1"/>
  <c r="I14" i="26"/>
  <c r="F25" i="48" s="1"/>
  <c r="I16" i="26"/>
  <c r="N25" i="48" s="1"/>
  <c r="K15" i="26"/>
  <c r="L25" i="48" s="1"/>
  <c r="I15" i="26"/>
  <c r="J25" i="48" s="1"/>
  <c r="K14" i="26"/>
  <c r="H25" i="48" s="1"/>
  <c r="K16" i="26"/>
  <c r="P25" i="48" s="1"/>
  <c r="G24" i="48"/>
  <c r="F16" i="25"/>
  <c r="M24" i="48" s="1"/>
  <c r="K24" i="48"/>
  <c r="F14" i="25"/>
  <c r="E24" i="48" s="1"/>
  <c r="D8" i="24"/>
  <c r="G8" i="24" s="1"/>
  <c r="E16" i="24"/>
  <c r="H16" i="24" s="1"/>
  <c r="O23" i="48" s="1"/>
  <c r="E15" i="24"/>
  <c r="H15" i="24" s="1"/>
  <c r="E14" i="24"/>
  <c r="D7" i="24"/>
  <c r="G7" i="24" s="1"/>
  <c r="F14" i="24" l="1"/>
  <c r="E23" i="48" s="1"/>
  <c r="H14" i="24"/>
  <c r="G23" i="48" s="1"/>
  <c r="T25" i="48"/>
  <c r="G14" i="24"/>
  <c r="F23" i="48" s="1"/>
  <c r="U24" i="48"/>
  <c r="Q24" i="48"/>
  <c r="S24" i="48"/>
  <c r="R25" i="48"/>
  <c r="I15" i="25"/>
  <c r="L24" i="48" s="1"/>
  <c r="G16" i="25"/>
  <c r="N24" i="48" s="1"/>
  <c r="I16" i="25"/>
  <c r="P24" i="48" s="1"/>
  <c r="G14" i="25"/>
  <c r="F24" i="48" s="1"/>
  <c r="G15" i="25"/>
  <c r="J24" i="48" s="1"/>
  <c r="I14" i="25"/>
  <c r="H24" i="48" s="1"/>
  <c r="F15" i="24"/>
  <c r="I23" i="48" s="1"/>
  <c r="F16" i="24"/>
  <c r="M23" i="48" s="1"/>
  <c r="K23" i="48"/>
  <c r="E16" i="23"/>
  <c r="E15" i="23"/>
  <c r="E14" i="23"/>
  <c r="H16" i="23" l="1"/>
  <c r="O20" i="48" s="1"/>
  <c r="F16" i="23"/>
  <c r="M20" i="48" s="1"/>
  <c r="H14" i="23"/>
  <c r="G20" i="48" s="1"/>
  <c r="F14" i="23"/>
  <c r="E20" i="48" s="1"/>
  <c r="H15" i="23"/>
  <c r="K20" i="48" s="1"/>
  <c r="F15" i="23"/>
  <c r="I20" i="48" s="1"/>
  <c r="U23" i="48"/>
  <c r="T24" i="48"/>
  <c r="S23" i="48"/>
  <c r="R24" i="48"/>
  <c r="Q23" i="48"/>
  <c r="I16" i="24"/>
  <c r="P23" i="48" s="1"/>
  <c r="G15" i="24"/>
  <c r="J23" i="48" s="1"/>
  <c r="G16" i="24"/>
  <c r="N23" i="48" s="1"/>
  <c r="I15" i="24"/>
  <c r="L23" i="48" s="1"/>
  <c r="I14" i="24"/>
  <c r="H23" i="48" s="1"/>
  <c r="E22" i="23"/>
  <c r="E24" i="23"/>
  <c r="E23" i="23"/>
  <c r="G7" i="23"/>
  <c r="G14" i="23" s="1"/>
  <c r="D8" i="22"/>
  <c r="F8" i="22" s="1" a="1"/>
  <c r="F8" i="22" s="1"/>
  <c r="I8" i="22" s="1"/>
  <c r="G16" i="22"/>
  <c r="J16" i="22" s="1"/>
  <c r="O19" i="48" s="1"/>
  <c r="G15" i="22"/>
  <c r="J15" i="22" s="1"/>
  <c r="G14" i="22"/>
  <c r="J14" i="22" s="1"/>
  <c r="D7" i="22"/>
  <c r="F7" i="22" s="1" a="1"/>
  <c r="F7" i="22" s="1"/>
  <c r="I7" i="22" s="1"/>
  <c r="G17" i="20"/>
  <c r="J17" i="20" s="1"/>
  <c r="G18" i="20"/>
  <c r="J18" i="20" s="1"/>
  <c r="G16" i="20"/>
  <c r="J16" i="20" s="1"/>
  <c r="I15" i="23" l="1"/>
  <c r="I16" i="23"/>
  <c r="G15" i="23"/>
  <c r="J20" i="48" s="1"/>
  <c r="I14" i="23"/>
  <c r="H20" i="48" s="1"/>
  <c r="G16" i="23"/>
  <c r="E30" i="23"/>
  <c r="H22" i="23"/>
  <c r="G21" i="48" s="1"/>
  <c r="F22" i="23"/>
  <c r="E21" i="48" s="1"/>
  <c r="G22" i="23"/>
  <c r="F21" i="48" s="1"/>
  <c r="I22" i="23"/>
  <c r="H21" i="48" s="1"/>
  <c r="E31" i="23"/>
  <c r="H23" i="23"/>
  <c r="K21" i="48" s="1"/>
  <c r="F23" i="23"/>
  <c r="I21" i="48" s="1"/>
  <c r="I23" i="23"/>
  <c r="L21" i="48" s="1"/>
  <c r="G23" i="23"/>
  <c r="J21" i="48" s="1"/>
  <c r="E32" i="23"/>
  <c r="F24" i="23"/>
  <c r="M21" i="48" s="1"/>
  <c r="H24" i="23"/>
  <c r="O21" i="48" s="1"/>
  <c r="I24" i="23"/>
  <c r="P21" i="48" s="1"/>
  <c r="G24" i="23"/>
  <c r="N21" i="48" s="1"/>
  <c r="N20" i="48"/>
  <c r="F20" i="48"/>
  <c r="P20" i="48"/>
  <c r="L20" i="48"/>
  <c r="R23" i="48"/>
  <c r="T23" i="48"/>
  <c r="S20" i="48"/>
  <c r="U20" i="48"/>
  <c r="Q20" i="48"/>
  <c r="H14" i="22"/>
  <c r="E19" i="48" s="1"/>
  <c r="H15" i="22"/>
  <c r="I19" i="48" s="1"/>
  <c r="G19" i="48"/>
  <c r="H16" i="22"/>
  <c r="M19" i="48" s="1"/>
  <c r="K19" i="48"/>
  <c r="F8" i="20" a="1"/>
  <c r="F8" i="20" s="1"/>
  <c r="I8" i="20" s="1"/>
  <c r="F30" i="23" l="1"/>
  <c r="E22" i="48" s="1"/>
  <c r="H30" i="23"/>
  <c r="G22" i="48" s="1"/>
  <c r="I30" i="23"/>
  <c r="H22" i="48" s="1"/>
  <c r="G30" i="23"/>
  <c r="F22" i="48" s="1"/>
  <c r="F32" i="23"/>
  <c r="M22" i="48" s="1"/>
  <c r="H32" i="23"/>
  <c r="O22" i="48" s="1"/>
  <c r="G32" i="23"/>
  <c r="N22" i="48" s="1"/>
  <c r="I32" i="23"/>
  <c r="P22" i="48" s="1"/>
  <c r="F31" i="23"/>
  <c r="I22" i="48" s="1"/>
  <c r="Q22" i="48" s="1"/>
  <c r="H31" i="23"/>
  <c r="K22" i="48" s="1"/>
  <c r="S22" i="48" s="1"/>
  <c r="G31" i="23"/>
  <c r="J22" i="48" s="1"/>
  <c r="I31" i="23"/>
  <c r="L22" i="48" s="1"/>
  <c r="S21" i="48"/>
  <c r="R20" i="48"/>
  <c r="R21" i="48"/>
  <c r="T21" i="48"/>
  <c r="S19" i="48"/>
  <c r="T20" i="48"/>
  <c r="U21" i="48"/>
  <c r="Q21" i="48"/>
  <c r="Q19" i="48"/>
  <c r="U19" i="48"/>
  <c r="G18" i="48"/>
  <c r="O18" i="48"/>
  <c r="K18" i="48"/>
  <c r="K15" i="22"/>
  <c r="L19" i="48" s="1"/>
  <c r="K16" i="22"/>
  <c r="P19" i="48" s="1"/>
  <c r="I16" i="22"/>
  <c r="N19" i="48" s="1"/>
  <c r="I14" i="22"/>
  <c r="F19" i="48" s="1"/>
  <c r="I15" i="22"/>
  <c r="J19" i="48" s="1"/>
  <c r="K14" i="22"/>
  <c r="H19" i="48" s="1"/>
  <c r="H17" i="20"/>
  <c r="I18" i="48" s="1"/>
  <c r="H16" i="20"/>
  <c r="E18" i="48" s="1"/>
  <c r="H18" i="20"/>
  <c r="M18" i="48" s="1"/>
  <c r="T22" i="48" l="1"/>
  <c r="R22" i="48"/>
  <c r="U22" i="48"/>
  <c r="T19" i="48"/>
  <c r="R19" i="48"/>
  <c r="U18" i="48"/>
  <c r="Q18" i="48"/>
  <c r="S18" i="48"/>
  <c r="K18" i="20"/>
  <c r="P18" i="48" s="1"/>
  <c r="K16" i="20"/>
  <c r="H18" i="48" s="1"/>
  <c r="I17" i="20"/>
  <c r="J18" i="48" s="1"/>
  <c r="I18" i="20"/>
  <c r="N18" i="48" s="1"/>
  <c r="K17" i="20"/>
  <c r="L18" i="48" s="1"/>
  <c r="I16" i="20"/>
  <c r="F18" i="48" s="1"/>
  <c r="M11" i="7"/>
  <c r="M10" i="7"/>
  <c r="R18" i="48" l="1"/>
  <c r="T18" i="48"/>
  <c r="R10" i="7"/>
  <c r="N10" i="7"/>
  <c r="O10" i="7" s="1"/>
  <c r="R11" i="7"/>
  <c r="N11" i="7"/>
  <c r="E7" i="19"/>
  <c r="F7" i="19" s="1"/>
  <c r="E8" i="19"/>
  <c r="F8" i="19" s="1"/>
  <c r="I11" i="19"/>
  <c r="I10" i="19"/>
  <c r="K11" i="19" l="1"/>
  <c r="J17" i="48" s="1"/>
  <c r="S10" i="7"/>
  <c r="T10" i="7"/>
  <c r="K5" i="48"/>
  <c r="T11" i="7"/>
  <c r="S11" i="7"/>
  <c r="I5" i="48"/>
  <c r="P11" i="7"/>
  <c r="O11" i="7"/>
  <c r="E5" i="48"/>
  <c r="P10" i="7"/>
  <c r="G5" i="48"/>
  <c r="S5" i="48" s="1"/>
  <c r="L14" i="51" s="1"/>
  <c r="L11" i="19"/>
  <c r="K17" i="48" s="1"/>
  <c r="J10" i="19"/>
  <c r="E17" i="48" s="1"/>
  <c r="M10" i="19"/>
  <c r="H17" i="48" s="1"/>
  <c r="M11" i="19"/>
  <c r="L17" i="48" s="1"/>
  <c r="K10" i="19"/>
  <c r="F17" i="48" s="1"/>
  <c r="R17" i="48" s="1"/>
  <c r="J11" i="19"/>
  <c r="I17" i="48" s="1"/>
  <c r="L10" i="19"/>
  <c r="G17" i="48" s="1"/>
  <c r="I11" i="18"/>
  <c r="L14" i="18" s="1"/>
  <c r="I10" i="18"/>
  <c r="J14" i="18" s="1"/>
  <c r="E8" i="18"/>
  <c r="F8" i="18" s="1" a="1"/>
  <c r="F8" i="18" s="1"/>
  <c r="E7" i="18"/>
  <c r="F7" i="18" l="1" a="1"/>
  <c r="F7" i="18" s="1"/>
  <c r="L17" i="18"/>
  <c r="M17" i="18" s="1"/>
  <c r="J17" i="18"/>
  <c r="K17" i="18" s="1"/>
  <c r="L16" i="18"/>
  <c r="M16" i="18" s="1"/>
  <c r="J16" i="18"/>
  <c r="K16" i="18" s="1"/>
  <c r="S17" i="48"/>
  <c r="T17" i="48"/>
  <c r="U17" i="48"/>
  <c r="Q17" i="48"/>
  <c r="U5" i="48"/>
  <c r="Q5" i="48"/>
  <c r="E14" i="49" s="1"/>
  <c r="U11" i="7"/>
  <c r="L5" i="48" s="1"/>
  <c r="U10" i="7"/>
  <c r="H5" i="48" s="1"/>
  <c r="Q10" i="7"/>
  <c r="F5" i="48" s="1"/>
  <c r="Q11" i="7"/>
  <c r="J5" i="48" s="1"/>
  <c r="L10" i="18"/>
  <c r="G16" i="48" s="1"/>
  <c r="L11" i="18"/>
  <c r="K16" i="48" s="1"/>
  <c r="J10" i="18"/>
  <c r="E16" i="48" s="1"/>
  <c r="J11" i="18"/>
  <c r="I16" i="48" s="1"/>
  <c r="I11" i="17"/>
  <c r="L14" i="17" s="1"/>
  <c r="I10" i="17"/>
  <c r="E8" i="17"/>
  <c r="E7" i="17"/>
  <c r="F7" i="17" s="1" a="1"/>
  <c r="F7" i="17" s="1"/>
  <c r="M10" i="18" l="1"/>
  <c r="M11" i="18"/>
  <c r="H14" i="49"/>
  <c r="O14" i="51"/>
  <c r="E13" i="51"/>
  <c r="V13" i="51" s="1"/>
  <c r="L17" i="17"/>
  <c r="M17" i="17" s="1"/>
  <c r="L16" i="17"/>
  <c r="M16" i="17" s="1"/>
  <c r="F8" i="17" a="1"/>
  <c r="F8" i="17" s="1"/>
  <c r="K11" i="17" s="1"/>
  <c r="J15" i="48" s="1"/>
  <c r="T5" i="48"/>
  <c r="K14" i="51" s="1"/>
  <c r="R5" i="48"/>
  <c r="D14" i="49" s="1"/>
  <c r="S16" i="48"/>
  <c r="U16" i="48"/>
  <c r="Q16" i="48"/>
  <c r="H16" i="48"/>
  <c r="L16" i="48"/>
  <c r="K11" i="18"/>
  <c r="J16" i="48" s="1"/>
  <c r="K10" i="18"/>
  <c r="F16" i="48" s="1"/>
  <c r="J10" i="17"/>
  <c r="E15" i="48" s="1"/>
  <c r="J11" i="17"/>
  <c r="I15" i="48" s="1"/>
  <c r="L11" i="17"/>
  <c r="K15" i="48" s="1"/>
  <c r="J14" i="17"/>
  <c r="J17" i="17" s="1"/>
  <c r="K17" i="17" s="1"/>
  <c r="L10" i="17"/>
  <c r="G15" i="48" s="1"/>
  <c r="I11" i="16"/>
  <c r="I10" i="16"/>
  <c r="E8" i="16"/>
  <c r="F8" i="16" s="1"/>
  <c r="E7" i="16"/>
  <c r="R13" i="51" l="1"/>
  <c r="H13" i="51"/>
  <c r="Z13" i="51" s="1"/>
  <c r="J16" i="17"/>
  <c r="K16" i="17" s="1"/>
  <c r="M10" i="17" s="1"/>
  <c r="M11" i="17"/>
  <c r="L15" i="48" s="1"/>
  <c r="T16" i="48"/>
  <c r="F7" i="16"/>
  <c r="R16" i="48"/>
  <c r="S15" i="48"/>
  <c r="U15" i="48"/>
  <c r="Q15" i="48"/>
  <c r="K10" i="17"/>
  <c r="F15" i="48" s="1"/>
  <c r="R15" i="48" s="1"/>
  <c r="K10" i="16"/>
  <c r="F14" i="48" s="1"/>
  <c r="J11" i="16"/>
  <c r="I14" i="48" s="1"/>
  <c r="J10" i="16"/>
  <c r="E14" i="48" s="1"/>
  <c r="L11" i="16"/>
  <c r="K14" i="48" s="1"/>
  <c r="J14" i="16"/>
  <c r="J23" i="16" s="1"/>
  <c r="K23" i="16" s="1"/>
  <c r="L10" i="16"/>
  <c r="G14" i="48" s="1"/>
  <c r="L14" i="16"/>
  <c r="L29" i="16" s="1"/>
  <c r="M29" i="16" s="1"/>
  <c r="D8" i="15"/>
  <c r="E8" i="15" s="1"/>
  <c r="J28" i="16" l="1"/>
  <c r="K28" i="16" s="1"/>
  <c r="J29" i="16"/>
  <c r="K29" i="16" s="1"/>
  <c r="J38" i="16"/>
  <c r="K38" i="16" s="1"/>
  <c r="L16" i="16"/>
  <c r="M16" i="16" s="1"/>
  <c r="L17" i="16"/>
  <c r="M17" i="16" s="1"/>
  <c r="L33" i="16"/>
  <c r="M33" i="16" s="1"/>
  <c r="J22" i="16"/>
  <c r="K22" i="16" s="1"/>
  <c r="L39" i="16"/>
  <c r="M39" i="16" s="1"/>
  <c r="L22" i="16"/>
  <c r="M22" i="16" s="1"/>
  <c r="L38" i="16"/>
  <c r="M38" i="16" s="1"/>
  <c r="L32" i="16"/>
  <c r="M32" i="16" s="1"/>
  <c r="L23" i="16"/>
  <c r="M23" i="16" s="1"/>
  <c r="J27" i="16"/>
  <c r="K27" i="16" s="1"/>
  <c r="AA13" i="51"/>
  <c r="T13" i="51"/>
  <c r="X13" i="51" s="1"/>
  <c r="AD13" i="51" s="1"/>
  <c r="J30" i="16"/>
  <c r="K30" i="16" s="1"/>
  <c r="L24" i="16"/>
  <c r="M24" i="16" s="1"/>
  <c r="J21" i="16"/>
  <c r="K21" i="16" s="1"/>
  <c r="J40" i="16"/>
  <c r="K40" i="16" s="1"/>
  <c r="L30" i="16"/>
  <c r="M30" i="16" s="1"/>
  <c r="J19" i="16"/>
  <c r="K19" i="16" s="1"/>
  <c r="L40" i="16"/>
  <c r="M40" i="16" s="1"/>
  <c r="J37" i="16"/>
  <c r="K37" i="16" s="1"/>
  <c r="L31" i="16"/>
  <c r="M31" i="16" s="1"/>
  <c r="J20" i="16"/>
  <c r="K20" i="16" s="1"/>
  <c r="J35" i="16"/>
  <c r="K35" i="16" s="1"/>
  <c r="L25" i="16"/>
  <c r="M25" i="16" s="1"/>
  <c r="J36" i="16"/>
  <c r="K36" i="16" s="1"/>
  <c r="J26" i="16"/>
  <c r="K26" i="16" s="1"/>
  <c r="L36" i="16"/>
  <c r="M36" i="16" s="1"/>
  <c r="L20" i="16"/>
  <c r="M20" i="16" s="1"/>
  <c r="J33" i="16"/>
  <c r="K33" i="16" s="1"/>
  <c r="J17" i="16"/>
  <c r="K17" i="16" s="1"/>
  <c r="L27" i="16"/>
  <c r="M27" i="16" s="1"/>
  <c r="J32" i="16"/>
  <c r="K32" i="16" s="1"/>
  <c r="J16" i="16"/>
  <c r="K16" i="16" s="1"/>
  <c r="L26" i="16"/>
  <c r="M26" i="16" s="1"/>
  <c r="J31" i="16"/>
  <c r="K31" i="16" s="1"/>
  <c r="L37" i="16"/>
  <c r="M37" i="16" s="1"/>
  <c r="L21" i="16"/>
  <c r="M21" i="16" s="1"/>
  <c r="J34" i="16"/>
  <c r="K34" i="16" s="1"/>
  <c r="J18" i="16"/>
  <c r="K18" i="16" s="1"/>
  <c r="L28" i="16"/>
  <c r="M28" i="16" s="1"/>
  <c r="J39" i="16"/>
  <c r="K39" i="16" s="1"/>
  <c r="J25" i="16"/>
  <c r="K25" i="16" s="1"/>
  <c r="L35" i="16"/>
  <c r="M35" i="16" s="1"/>
  <c r="L19" i="16"/>
  <c r="M19" i="16" s="1"/>
  <c r="J24" i="16"/>
  <c r="K24" i="16" s="1"/>
  <c r="L34" i="16"/>
  <c r="M34" i="16" s="1"/>
  <c r="L18" i="16"/>
  <c r="M18" i="16" s="1"/>
  <c r="S14" i="48"/>
  <c r="U14" i="48"/>
  <c r="Q14" i="48"/>
  <c r="D13" i="51"/>
  <c r="H15" i="48"/>
  <c r="T15" i="48" s="1"/>
  <c r="K11" i="16"/>
  <c r="J14" i="48" s="1"/>
  <c r="R14" i="48" s="1"/>
  <c r="H11" i="15"/>
  <c r="H10" i="15"/>
  <c r="D7" i="15"/>
  <c r="E7" i="15" s="1"/>
  <c r="K14" i="15" l="1"/>
  <c r="J11" i="15"/>
  <c r="AE13" i="51"/>
  <c r="AF13" i="51" s="1"/>
  <c r="M11" i="16"/>
  <c r="L14" i="48" s="1"/>
  <c r="M10" i="16"/>
  <c r="H14" i="48" s="1"/>
  <c r="K16" i="15"/>
  <c r="L16" i="15" s="1"/>
  <c r="L11" i="15" s="1"/>
  <c r="L13" i="48" s="1"/>
  <c r="J13" i="48"/>
  <c r="J10" i="15"/>
  <c r="F13" i="48" s="1"/>
  <c r="K11" i="15"/>
  <c r="K13" i="48" s="1"/>
  <c r="K10" i="15"/>
  <c r="G13" i="48" s="1"/>
  <c r="I11" i="15"/>
  <c r="I13" i="48" s="1"/>
  <c r="I14" i="15"/>
  <c r="I16" i="15" s="1"/>
  <c r="I10" i="15"/>
  <c r="E13" i="48" s="1"/>
  <c r="E7" i="14"/>
  <c r="E8" i="14"/>
  <c r="F8" i="14" s="1"/>
  <c r="S13" i="48" l="1"/>
  <c r="T14" i="48"/>
  <c r="R13" i="48"/>
  <c r="U13" i="48"/>
  <c r="Q13" i="48"/>
  <c r="F7" i="14"/>
  <c r="J12" i="14"/>
  <c r="M12" i="48" s="1"/>
  <c r="L12" i="14"/>
  <c r="O12" i="48" s="1"/>
  <c r="J16" i="15"/>
  <c r="L10" i="15" s="1"/>
  <c r="H13" i="48" s="1"/>
  <c r="T13" i="48" s="1"/>
  <c r="I11" i="14"/>
  <c r="I10" i="14"/>
  <c r="L10" i="14" s="1"/>
  <c r="G12" i="48" s="1"/>
  <c r="H11" i="12"/>
  <c r="H10" i="12"/>
  <c r="D8" i="12"/>
  <c r="E8" i="12" s="1"/>
  <c r="D7" i="12"/>
  <c r="K14" i="12" l="1"/>
  <c r="K10" i="14"/>
  <c r="F12" i="48" s="1"/>
  <c r="N24" i="14"/>
  <c r="O24" i="14" s="1"/>
  <c r="K12" i="14"/>
  <c r="N12" i="48" s="1"/>
  <c r="K11" i="14"/>
  <c r="J12" i="48" s="1"/>
  <c r="N17" i="14"/>
  <c r="O17" i="14" s="1"/>
  <c r="N18" i="14"/>
  <c r="O18" i="14" s="1"/>
  <c r="N19" i="14"/>
  <c r="O19" i="14" s="1"/>
  <c r="N20" i="14"/>
  <c r="O20" i="14" s="1"/>
  <c r="N21" i="14"/>
  <c r="O21" i="14" s="1"/>
  <c r="N22" i="14"/>
  <c r="O22" i="14" s="1"/>
  <c r="N23" i="14"/>
  <c r="O23" i="14" s="1"/>
  <c r="L15" i="14"/>
  <c r="I11" i="12"/>
  <c r="I11" i="48" s="1"/>
  <c r="J11" i="14"/>
  <c r="I12" i="48" s="1"/>
  <c r="L11" i="14"/>
  <c r="K12" i="48" s="1"/>
  <c r="S12" i="48" s="1"/>
  <c r="J15" i="14"/>
  <c r="J10" i="14"/>
  <c r="E12" i="48" s="1"/>
  <c r="K11" i="12"/>
  <c r="K11" i="48" s="1"/>
  <c r="E7" i="12"/>
  <c r="J10" i="12" s="1"/>
  <c r="F11" i="48" s="1"/>
  <c r="K10" i="12"/>
  <c r="G11" i="48" s="1"/>
  <c r="I14" i="12"/>
  <c r="I10" i="12"/>
  <c r="E11" i="48" s="1"/>
  <c r="H11" i="11"/>
  <c r="H10" i="11"/>
  <c r="I14" i="11" s="1"/>
  <c r="D7" i="11"/>
  <c r="E7" i="11" s="1"/>
  <c r="D8" i="11"/>
  <c r="E8" i="11" s="1"/>
  <c r="J11" i="11" l="1"/>
  <c r="J11" i="12"/>
  <c r="S11" i="48"/>
  <c r="U11" i="48"/>
  <c r="Q11" i="48"/>
  <c r="R12" i="48"/>
  <c r="U12" i="48"/>
  <c r="Q12" i="48"/>
  <c r="M12" i="14"/>
  <c r="P12" i="48" s="1"/>
  <c r="J24" i="14"/>
  <c r="K24" i="14" s="1"/>
  <c r="J19" i="14"/>
  <c r="K19" i="14" s="1"/>
  <c r="J18" i="14"/>
  <c r="K18" i="14" s="1"/>
  <c r="J20" i="14"/>
  <c r="K20" i="14" s="1"/>
  <c r="J17" i="14"/>
  <c r="K17" i="14" s="1"/>
  <c r="J22" i="14"/>
  <c r="K22" i="14" s="1"/>
  <c r="J21" i="14"/>
  <c r="K21" i="14" s="1"/>
  <c r="J23" i="14"/>
  <c r="K23" i="14" s="1"/>
  <c r="L19" i="14"/>
  <c r="M19" i="14" s="1"/>
  <c r="L20" i="14"/>
  <c r="M20" i="14" s="1"/>
  <c r="L21" i="14"/>
  <c r="M21" i="14" s="1"/>
  <c r="L23" i="14"/>
  <c r="M23" i="14" s="1"/>
  <c r="L24" i="14"/>
  <c r="M24" i="14" s="1"/>
  <c r="L17" i="14"/>
  <c r="M17" i="14" s="1"/>
  <c r="L18" i="14"/>
  <c r="M18" i="14" s="1"/>
  <c r="L22" i="14"/>
  <c r="M22" i="14" s="1"/>
  <c r="I16" i="11"/>
  <c r="J16" i="11" s="1"/>
  <c r="L10" i="11" s="1"/>
  <c r="H10" i="48" s="1"/>
  <c r="I16" i="12"/>
  <c r="J16" i="12" s="1"/>
  <c r="L10" i="12" s="1"/>
  <c r="H11" i="48" s="1"/>
  <c r="J11" i="48"/>
  <c r="R11" i="48" s="1"/>
  <c r="K16" i="12"/>
  <c r="L16" i="12" s="1"/>
  <c r="L11" i="12" s="1"/>
  <c r="L11" i="48" s="1"/>
  <c r="K10" i="11"/>
  <c r="G10" i="48" s="1"/>
  <c r="K11" i="11"/>
  <c r="K10" i="48" s="1"/>
  <c r="K14" i="11"/>
  <c r="K16" i="11" s="1"/>
  <c r="I10" i="11"/>
  <c r="E10" i="48" s="1"/>
  <c r="J10" i="11"/>
  <c r="F10" i="48" s="1"/>
  <c r="I11" i="11"/>
  <c r="I10" i="48" s="1"/>
  <c r="J10" i="48"/>
  <c r="S10" i="48" l="1"/>
  <c r="R10" i="48"/>
  <c r="U10" i="48"/>
  <c r="Q10" i="48"/>
  <c r="T11" i="48"/>
  <c r="M10" i="14"/>
  <c r="H12" i="48" s="1"/>
  <c r="M11" i="14"/>
  <c r="L12" i="48" s="1"/>
  <c r="L16" i="11"/>
  <c r="L11" i="11" s="1"/>
  <c r="L10" i="48" s="1"/>
  <c r="T10" i="48" s="1"/>
  <c r="J8" i="10"/>
  <c r="J9" i="10"/>
  <c r="P16" i="10"/>
  <c r="T16" i="10" s="1"/>
  <c r="N16" i="10"/>
  <c r="R16" i="10" s="1"/>
  <c r="T12" i="48" l="1"/>
  <c r="M12" i="10"/>
  <c r="S12" i="10" s="1"/>
  <c r="J9" i="48" s="1"/>
  <c r="M11" i="10"/>
  <c r="S11" i="10" s="1"/>
  <c r="F9" i="48" s="1"/>
  <c r="I8" i="10"/>
  <c r="I9" i="10"/>
  <c r="F9" i="10"/>
  <c r="F8" i="10"/>
  <c r="R9" i="48" l="1"/>
  <c r="N15" i="10"/>
  <c r="P18" i="10" s="1"/>
  <c r="Q18" i="10" s="1"/>
  <c r="T11" i="10"/>
  <c r="G9" i="48" s="1"/>
  <c r="R11" i="10"/>
  <c r="E9" i="48" s="1"/>
  <c r="R15" i="10"/>
  <c r="P25" i="10" s="1"/>
  <c r="R12" i="10"/>
  <c r="I9" i="48" s="1"/>
  <c r="T12" i="10"/>
  <c r="K9" i="48" s="1"/>
  <c r="O12" i="10"/>
  <c r="J8" i="48" s="1"/>
  <c r="O11" i="10"/>
  <c r="F8" i="48" s="1"/>
  <c r="N12" i="10"/>
  <c r="I8" i="48" s="1"/>
  <c r="P12" i="10"/>
  <c r="K8" i="48" s="1"/>
  <c r="P11" i="10"/>
  <c r="G8" i="48" s="1"/>
  <c r="N11" i="10"/>
  <c r="E8" i="48" s="1"/>
  <c r="E7" i="8"/>
  <c r="F7" i="8" s="1"/>
  <c r="N7" i="8"/>
  <c r="J7" i="8"/>
  <c r="E6" i="8"/>
  <c r="F6" i="8" s="1"/>
  <c r="I11" i="8"/>
  <c r="I10" i="8"/>
  <c r="R8" i="48" l="1"/>
  <c r="R18" i="10"/>
  <c r="S18" i="10" s="1"/>
  <c r="S8" i="48"/>
  <c r="U8" i="48"/>
  <c r="Q8" i="48"/>
  <c r="U9" i="48"/>
  <c r="Q9" i="48"/>
  <c r="S9" i="48"/>
  <c r="R21" i="10"/>
  <c r="S21" i="10" s="1"/>
  <c r="P21" i="10"/>
  <c r="Q21" i="10" s="1"/>
  <c r="P29" i="10"/>
  <c r="Q29" i="10" s="1"/>
  <c r="P28" i="10"/>
  <c r="Q28" i="10" s="1"/>
  <c r="P27" i="10"/>
  <c r="Q27" i="10" s="1"/>
  <c r="T18" i="10"/>
  <c r="U18" i="10" s="1"/>
  <c r="T20" i="10"/>
  <c r="U20" i="10" s="1"/>
  <c r="T21" i="10"/>
  <c r="U21" i="10" s="1"/>
  <c r="R19" i="10"/>
  <c r="S19" i="10" s="1"/>
  <c r="R20" i="10"/>
  <c r="S20" i="10" s="1"/>
  <c r="T19" i="10"/>
  <c r="U19" i="10" s="1"/>
  <c r="N25" i="10"/>
  <c r="P20" i="10"/>
  <c r="Q20" i="10" s="1"/>
  <c r="N19" i="10"/>
  <c r="O19" i="10" s="1"/>
  <c r="N20" i="10"/>
  <c r="O20" i="10" s="1"/>
  <c r="N21" i="10"/>
  <c r="O21" i="10" s="1"/>
  <c r="P19" i="10"/>
  <c r="Q19" i="10" s="1"/>
  <c r="N18" i="10"/>
  <c r="O18" i="10" s="1"/>
  <c r="L10" i="8"/>
  <c r="G6" i="48" s="1"/>
  <c r="P10" i="8"/>
  <c r="G7" i="48" s="1"/>
  <c r="L11" i="8"/>
  <c r="K6" i="48" s="1"/>
  <c r="P11" i="8"/>
  <c r="K7" i="48" s="1"/>
  <c r="N10" i="8"/>
  <c r="E7" i="48" s="1"/>
  <c r="N11" i="8"/>
  <c r="I7" i="48" s="1"/>
  <c r="J11" i="8"/>
  <c r="I6" i="48" s="1"/>
  <c r="J10" i="8"/>
  <c r="E6" i="48" s="1"/>
  <c r="S7" i="48" l="1"/>
  <c r="S6" i="48"/>
  <c r="U6" i="48"/>
  <c r="G9" i="52" s="1"/>
  <c r="Q6" i="48"/>
  <c r="E14" i="51" s="1"/>
  <c r="R14" i="51" s="1"/>
  <c r="U7" i="48"/>
  <c r="Q7" i="48"/>
  <c r="P30" i="10"/>
  <c r="U12" i="10" s="1"/>
  <c r="L9" i="48" s="1"/>
  <c r="N29" i="10"/>
  <c r="O29" i="10" s="1"/>
  <c r="N27" i="10"/>
  <c r="O27" i="10" s="1"/>
  <c r="N28" i="10"/>
  <c r="O28" i="10" s="1"/>
  <c r="R22" i="10"/>
  <c r="Q12" i="10" s="1"/>
  <c r="L8" i="48" s="1"/>
  <c r="N22" i="10"/>
  <c r="Q11" i="10" s="1"/>
  <c r="H8" i="48" s="1"/>
  <c r="M11" i="8"/>
  <c r="L6" i="48" s="1"/>
  <c r="Q11" i="8"/>
  <c r="L7" i="48" s="1"/>
  <c r="M10" i="8"/>
  <c r="H6" i="48" s="1"/>
  <c r="Q10" i="8"/>
  <c r="H7" i="48" s="1"/>
  <c r="K11" i="8"/>
  <c r="J6" i="48" s="1"/>
  <c r="K10" i="8"/>
  <c r="F6" i="48" s="1"/>
  <c r="O11" i="8"/>
  <c r="J7" i="48" s="1"/>
  <c r="O10" i="8"/>
  <c r="F7" i="48" s="1"/>
  <c r="F10" i="52" l="1"/>
  <c r="F11" i="52"/>
  <c r="T8" i="48"/>
  <c r="R7" i="48"/>
  <c r="T7" i="48"/>
  <c r="T6" i="48"/>
  <c r="R6" i="48"/>
  <c r="H14" i="51"/>
  <c r="V14" i="51"/>
  <c r="N30" i="10"/>
  <c r="U11" i="10" s="1"/>
  <c r="H9" i="48" s="1"/>
  <c r="T9" i="48" s="1"/>
  <c r="G11" i="52" l="1"/>
  <c r="F12" i="52"/>
  <c r="I12" i="52" s="1"/>
  <c r="D14" i="51"/>
  <c r="T14" i="51"/>
  <c r="AA14" i="51"/>
  <c r="Z14" i="51"/>
  <c r="D25" i="49"/>
  <c r="I5" i="6"/>
  <c r="C5" i="6" s="1"/>
  <c r="C9" i="6" s="1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K25" i="51" l="1"/>
  <c r="X14" i="51"/>
  <c r="AD14" i="51" s="1"/>
  <c r="I7" i="6"/>
  <c r="I8" i="6"/>
  <c r="I9" i="6"/>
  <c r="I6" i="6"/>
  <c r="AE14" i="51" l="1"/>
  <c r="AF14" i="51" s="1"/>
  <c r="AF29" i="51" s="1"/>
  <c r="D25" i="51"/>
  <c r="F3" i="52" l="1"/>
  <c r="I3" i="52" s="1"/>
  <c r="I13" i="52" s="1"/>
  <c r="I14" i="52" s="1"/>
  <c r="AF30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<sst xmlns="http://schemas.openxmlformats.org/spreadsheetml/2006/main" count="4222" uniqueCount="910">
  <si>
    <t>Jabatan</t>
  </si>
  <si>
    <t>Tenaga Pengajar</t>
  </si>
  <si>
    <t>Asisten Ahli</t>
  </si>
  <si>
    <t>Lektor</t>
  </si>
  <si>
    <t>Lektor Kepala</t>
  </si>
  <si>
    <t>Profesor</t>
  </si>
  <si>
    <t>Pendidikan</t>
  </si>
  <si>
    <t>Magister</t>
  </si>
  <si>
    <t>Doktoral</t>
  </si>
  <si>
    <t>Prodi</t>
  </si>
  <si>
    <t>Diploma</t>
  </si>
  <si>
    <t>Sarjana</t>
  </si>
  <si>
    <t>Kredit</t>
  </si>
  <si>
    <t>II.</t>
  </si>
  <si>
    <t>Pelaksanaan Pendidikan</t>
  </si>
  <si>
    <t>III.</t>
  </si>
  <si>
    <t>Pelaksanaan Penelitian</t>
  </si>
  <si>
    <t>IV.</t>
  </si>
  <si>
    <t>Pelaksanaan Pengabdian Masyarakat</t>
  </si>
  <si>
    <t>V.</t>
  </si>
  <si>
    <t>Unsur Penunjang</t>
  </si>
  <si>
    <t>A.</t>
  </si>
  <si>
    <t>Melaksanakan perkuliahan/tutorial/perkuliahan praktikum dan membimbing,menguji serta menyelenggarakan pendidikan di laboratorium, praktik keguruan, bengkel/studio/kebun percobaan/teknologi pengajaran dan praktik lapangan (setiap semester)</t>
  </si>
  <si>
    <t>B.</t>
  </si>
  <si>
    <t>Membimbing seminar mahasiswa (setiap mahasiswa)</t>
  </si>
  <si>
    <t>C.</t>
  </si>
  <si>
    <t>Membimbing KKN, Praktik Kerja Nyata, Praktik Kerja Lapangan (setiap semester)</t>
  </si>
  <si>
    <t>D.</t>
  </si>
  <si>
    <t>Membimbing dan ikut membimbing dalam menghasilkan disertasi, tesis, skripsi dan laporan akhir studi yang sesuai bidang penugasannya</t>
  </si>
  <si>
    <t>E.</t>
  </si>
  <si>
    <t>Bertugas sebagai penguji pada ujian akhir/Profesi*** (setiap mahasiswa)</t>
  </si>
  <si>
    <t>F.</t>
  </si>
  <si>
    <t>Membina kegiatan mahasiswa di bidang akademik dan kemahasiswaan, termasuk dalam kegiatan ini adalah membimbing mahasiswa  menghasilkan produk saintifik (setiap semester)</t>
  </si>
  <si>
    <t>G.</t>
  </si>
  <si>
    <t>Mengembangkan program kuliah yang mempunyai nilai kebaharuan metode atau substansi (setiap produk)</t>
  </si>
  <si>
    <t>H.</t>
  </si>
  <si>
    <t>Mengembangkan bahan pengajaran/ bahan kuliah yang mempunyai nilai kebaharuan (setiap produk)</t>
  </si>
  <si>
    <t>I.</t>
  </si>
  <si>
    <t>Menyampaikan orasi ilmiah di tingkat perguruan tinggi</t>
  </si>
  <si>
    <t>J.</t>
  </si>
  <si>
    <t>Menduduki jabatan pimpinan perguruan tinggi (setiap semester)</t>
  </si>
  <si>
    <t>K.</t>
  </si>
  <si>
    <t>Membimbing dosen yang mempunyai jabatan akademik lebih rendah setiap semester (bagi dosen Lektor Kepala ke atas)</t>
  </si>
  <si>
    <t>L.</t>
  </si>
  <si>
    <t>Melaksanakan kegiatan detasering dan pencangkokan di luar institusi tempat bekerja setiap semester (bagi dosen Lektor kepala ke atas)</t>
  </si>
  <si>
    <t>M.</t>
  </si>
  <si>
    <t>Melaksanakan pengembangan diri untuk meningkatkan kompetensi</t>
  </si>
  <si>
    <t>Menghasilkan karya ilmiah sesuai dengan bidang ilmunya</t>
  </si>
  <si>
    <t>Hasil penelitian atau hasil pemikiran yang didesiminasikan</t>
  </si>
  <si>
    <t>Hasil penelitian atau pemikiran atau kerjasama industri yang tidak dipublikasikan (tersimpan dalam perpustakaan)</t>
  </si>
  <si>
    <t>Menerjemahkan/menyadur buku ilmiah yang diterbitkan (ber ISBN)</t>
  </si>
  <si>
    <t>Mengedit/menyunting karya ilmiah dalam bentuk buku yang diterbitkan (ber ISBN)</t>
  </si>
  <si>
    <t>Membuat rancangan dan karya teknologi/seni yang dipatenkan secara nasional atau internasional</t>
  </si>
  <si>
    <t>Membuat rancangan dan karya teknologi yang tidak dipatenkan; rancangan dan karya seni monumental/ seni pertunjukan; karya sastra</t>
  </si>
  <si>
    <t>Pelaksanaan Penelitian/ Karya Seni</t>
  </si>
  <si>
    <t>Pelaksanaan Penelitian/ Karya Sastra</t>
  </si>
  <si>
    <t>Menduduki jabatan pimpinan pada lembaga pemerintahan/pejabat negara yang harus dibebaskan dari jabatan organiknya tiap semester</t>
  </si>
  <si>
    <t>Melaksanakan pengembangan hasil pendidikan, dan penelitian yang dapat dimanfaatkan oleh masyarakat/ industry setiap program</t>
  </si>
  <si>
    <t>Memberi latihan/penyuluhan/ penataran/ceramah pada masyarakat, terjadwal/terprogram</t>
  </si>
  <si>
    <t>Memberi pelayanan kepada masyarakat atau kegiatan lain yang menunjang pelaksanaan tugas pemerintahan dan pembangunan</t>
  </si>
  <si>
    <t>Membuat/menulis karya pengabdian pada masyarakat yang tidak dipublikasikan,tiap karya</t>
  </si>
  <si>
    <t>Menjadi anggota dalam suatu Panitia/Badan pada Perguruan Tinggi</t>
  </si>
  <si>
    <t>Menjadi anggota panitia/badan pada lembaga pemerintah</t>
  </si>
  <si>
    <t>Menjadi anggota organisasi profesi</t>
  </si>
  <si>
    <t>Mewakili Perguruan Tinggi/Lembaga Pemerintah duduk dalam Panitia Antar Lembaga, tiap kepanitiaan</t>
  </si>
  <si>
    <t>Menjadi anggota delegasi Nasional ke pertemuan Internasional</t>
  </si>
  <si>
    <t>Berperan serta aktif dalam pengelolaan jurnal ilmiah (per tahun)</t>
  </si>
  <si>
    <t>Berperan serta aktif dalam pertemuan ilmiah</t>
  </si>
  <si>
    <t>Mendapat tanda jasa/penghargaan</t>
  </si>
  <si>
    <t>Menulis buku pelajaran SLTA ke bawah yang diterbitkan dan diedarkan secara nasional</t>
  </si>
  <si>
    <t>Mempunyai prestasi di bidang olahraga/ Humaniora</t>
  </si>
  <si>
    <t>Keanggotaan dalam tim penilai jabatan akademik dosen (tiap semester)</t>
  </si>
  <si>
    <t>II.A.</t>
  </si>
  <si>
    <t>1.</t>
  </si>
  <si>
    <t>2.</t>
  </si>
  <si>
    <t>Lektor/Lektor Kepala/Profesor</t>
  </si>
  <si>
    <t>3.</t>
  </si>
  <si>
    <t>Kegiatan pelaksanaan pendidikan untuk pendidikan dokter klinis</t>
  </si>
  <si>
    <t>II.B.</t>
  </si>
  <si>
    <t>0.</t>
  </si>
  <si>
    <t>II.C.</t>
  </si>
  <si>
    <t>II.D.</t>
  </si>
  <si>
    <t>Pembimbing Utama per orang (setiap mahasiswa)</t>
  </si>
  <si>
    <t>Pembimbing Pendamping/Pembantu per orang (setiap mahasiswa)</t>
  </si>
  <si>
    <t>II.E.</t>
  </si>
  <si>
    <t>Ketua penguji</t>
  </si>
  <si>
    <t>Anggota penguji</t>
  </si>
  <si>
    <t>II.F.</t>
  </si>
  <si>
    <t>II.G.</t>
  </si>
  <si>
    <t>II.H.</t>
  </si>
  <si>
    <t>Buku ajar</t>
  </si>
  <si>
    <t>Diktat,Modul, Petunjuk praktikum, Model, Alat bantu, Audio visual, Naskah tutorial, Job sheet praktikum terkait dengan mata kuliah yang diampu</t>
  </si>
  <si>
    <t>II.I.</t>
  </si>
  <si>
    <t>II.J.</t>
  </si>
  <si>
    <t>Rektor</t>
  </si>
  <si>
    <t>Pembantu/wakil rektor/dekan/direktur program pasca sarjana</t>
  </si>
  <si>
    <t>Ketua sekolah tinggi/pembantu dekan/asisten direktur program pascasarjana/direktur politeknik</t>
  </si>
  <si>
    <t>4.</t>
  </si>
  <si>
    <t>Pembantu ketua sekolah tinggi/pembantu direktur politeknik</t>
  </si>
  <si>
    <t>5.</t>
  </si>
  <si>
    <t>Direktur akademi</t>
  </si>
  <si>
    <t>6.</t>
  </si>
  <si>
    <t>Pembantu direktur akademi/ketua jurusan/bagian pada Universitas/institut/sekolah tinggi</t>
  </si>
  <si>
    <t>7.</t>
  </si>
  <si>
    <t>Ketua jurusan pada politeknik/akademi/sekretaris jurusan/bagian pada universitas/institut/sekolah tinggi</t>
  </si>
  <si>
    <t>8.</t>
  </si>
  <si>
    <t>Sekretaris jurusan pada politeknik/akademi dan kepala laboratorium (bengkel) universitas/institut/sekolah tinggi/politeknik/akademi</t>
  </si>
  <si>
    <t>II.K.</t>
  </si>
  <si>
    <t>Pembimbing pencangkokan</t>
  </si>
  <si>
    <t>Reguler</t>
  </si>
  <si>
    <t>II.L.</t>
  </si>
  <si>
    <t>Detasering</t>
  </si>
  <si>
    <t>Pencangkokan</t>
  </si>
  <si>
    <t>II.M.</t>
  </si>
  <si>
    <t>Lamanya lebih dari 960 jam</t>
  </si>
  <si>
    <t>Lamanya antara 641- 960 jam</t>
  </si>
  <si>
    <t>Lamanya antara 481- 640 jam</t>
  </si>
  <si>
    <t>Lamanya antara 161- 480 jam</t>
  </si>
  <si>
    <t>Lamanya antara 81- 160 jam</t>
  </si>
  <si>
    <t>Lamanya antara 30 - 80 jam</t>
  </si>
  <si>
    <t>Lamanya antara 10 - 30 jam</t>
  </si>
  <si>
    <t>III.A.</t>
  </si>
  <si>
    <t>Hasil penelitian atau hasil pemikiran yang dipublikasikan dalam bentuk buku</t>
  </si>
  <si>
    <t>Hasil penelitian atau hasil pemikiran
dalam buku yang dipublikasikan dan berisi berbagai tulisan dari berbagai penulis (book chapter)</t>
  </si>
  <si>
    <t>Hasil penelitian atau hasil pemikiran yang dipublikasikan</t>
  </si>
  <si>
    <t>III.B.</t>
  </si>
  <si>
    <t>Dipresentasikan secara oral dan dimuat dalam prosiding yang dipublikasikan (ber ISSN/ISBN)</t>
  </si>
  <si>
    <t>Disajikan dalam bentuk poster dan dimuat dalam prosiding yang dipublikasikan</t>
  </si>
  <si>
    <t>Disajikan dalam seminar/simposium/ lokakarya, tetapi tidak dimuat dalam prosiding yang dipublikasikan</t>
  </si>
  <si>
    <t>Hasil penelitian/pemikiran yang tidak disajikan dalam seminar/ simposium/ lokakarya, tetapi dimuat dalam prosiding</t>
  </si>
  <si>
    <t>Hasil penelitian/pemikiran yang disajikan dalam koran/majalah populer/umum</t>
  </si>
  <si>
    <t>III.C.</t>
  </si>
  <si>
    <t>III.D.</t>
  </si>
  <si>
    <t>III.E.</t>
  </si>
  <si>
    <t>III.F.</t>
  </si>
  <si>
    <t>Internasional (paling sedikit diakui oleh 4 Negara)</t>
  </si>
  <si>
    <t>Nasional</t>
  </si>
  <si>
    <t>III.G.</t>
  </si>
  <si>
    <t>Tingkat Internasional</t>
  </si>
  <si>
    <t>Tingkat Nasional</t>
  </si>
  <si>
    <t>Tingkat Lokal</t>
  </si>
  <si>
    <t>III.H.</t>
  </si>
  <si>
    <t>Sebagai Komposer/Penulis Naskah/Sutradara/Perancang/Pencipta/Penggubah/Kameramen/Animator/Kurator/Editor Audio-Visual</t>
  </si>
  <si>
    <t>Sebagai Penata Arstistik/Penata Musik/Penata Rias/PenataBusana/ Penata Tari/Penata Lampu/Penata Suara/Penata Panggung/Ilustrator Foto/Kunduktor</t>
  </si>
  <si>
    <t>Sebagai Pemusik/Pengrawit/Penari/Dalang/Pemeran/Pengarah Acara Televisi/Pelaksana Perancangan/Pendisplay Pameran/Pembuat Foto Dokumentasi/Pewarta Foto/Pembawa Acara/Reporter/Redaktur Pelaksana</t>
  </si>
  <si>
    <t>III.I.</t>
  </si>
  <si>
    <t>Sebagai Penulis Naskah Drama/Novel</t>
  </si>
  <si>
    <t>Sebagai Penulis Buku Kumpulan Cerpen</t>
  </si>
  <si>
    <t>Sebagai Penulis Buku Kumpulan Puisi</t>
  </si>
  <si>
    <t>IV.A.</t>
  </si>
  <si>
    <t>IV.B.</t>
  </si>
  <si>
    <t>IV.C.</t>
  </si>
  <si>
    <t>Dalam satu semester atau lebih</t>
  </si>
  <si>
    <t>Kurang dari satu semester dan minimal satu bulan</t>
  </si>
  <si>
    <t>IV.D.</t>
  </si>
  <si>
    <t>Berdasarkan bidang keahlian, tiap program</t>
  </si>
  <si>
    <t>Berdasarkan penugasan lembaga terguruan tinggi, tiap program</t>
  </si>
  <si>
    <t>Berdasarkan fungsi/jabatan tiap program</t>
  </si>
  <si>
    <t>IV.E.</t>
  </si>
  <si>
    <t>V.A.</t>
  </si>
  <si>
    <t>Sebagai Ketua/Wakil Ketua merangkap Anggota, tiap tahun</t>
  </si>
  <si>
    <t>Sebagai Anggota, tiap tahun</t>
  </si>
  <si>
    <t>V.B.</t>
  </si>
  <si>
    <t>Panitia Pusat, sebagai</t>
  </si>
  <si>
    <t>Panitia Daerah, sebagai</t>
  </si>
  <si>
    <t>V.C.</t>
  </si>
  <si>
    <t>Tingkat Internasional, sebagai :</t>
  </si>
  <si>
    <t>Tingkat Nasional, sebagai :</t>
  </si>
  <si>
    <t>V.D.</t>
  </si>
  <si>
    <t>V.E.</t>
  </si>
  <si>
    <t>Sebagai Ketua delegasi, tiap kegiatan</t>
  </si>
  <si>
    <t>Sebagai Anggota, tiap kegiatan</t>
  </si>
  <si>
    <t>V.F.</t>
  </si>
  <si>
    <t>Editor/dewan penyunting/dewan redaksi jurnal ilmiah internasional</t>
  </si>
  <si>
    <t>Editor/dewan penyunting/dewan redaksi jurnal ilmiah nasional</t>
  </si>
  <si>
    <t>V.G.</t>
  </si>
  <si>
    <t>Tingkat Internasional/Nasional/Regional sebagai :</t>
  </si>
  <si>
    <t>Di lingkungan Perguruan Tinggi sebagai :</t>
  </si>
  <si>
    <t>V.H.</t>
  </si>
  <si>
    <t>Penghargaan/tanda jasa Satya lencana 30 tahun</t>
  </si>
  <si>
    <t>Penghargaan/tanda jasa Satya lencana 20 tahun</t>
  </si>
  <si>
    <t>Penghargaan/tanda jasa Satya lencana 10 tahun</t>
  </si>
  <si>
    <t>Tingkat Internasional, tiap tanda jasa/penghargaan</t>
  </si>
  <si>
    <t>Tingkat Nasional, tiap tanda jasa/penghargaan</t>
  </si>
  <si>
    <t>Tingkat Daerah/Lokal, tiap tanda jasa/penghargaan</t>
  </si>
  <si>
    <t>V.I.</t>
  </si>
  <si>
    <t>Buku SMTA atau setingkat, tiap buku</t>
  </si>
  <si>
    <t>Buku SMTP atau setingkat, tiap buku</t>
  </si>
  <si>
    <t>Buku SD atau setingkat, tiap buku</t>
  </si>
  <si>
    <t>V.J.</t>
  </si>
  <si>
    <t>Tingkat Internasional, tiap piagam/medali</t>
  </si>
  <si>
    <t>Tingkat Nasional, tiap piagam/medali</t>
  </si>
  <si>
    <t>Tingkat Daerah/Lokal, tiap piagam/medali</t>
  </si>
  <si>
    <t>V.K.</t>
  </si>
  <si>
    <t>II.A.1.</t>
  </si>
  <si>
    <t>a.</t>
  </si>
  <si>
    <t>beban mengajar 10 sks pertama</t>
  </si>
  <si>
    <t>semester</t>
  </si>
  <si>
    <t>b.</t>
  </si>
  <si>
    <t>beban mengajar 2 sks berikutnya</t>
  </si>
  <si>
    <t>II.A.2.</t>
  </si>
  <si>
    <t>II.A.3.</t>
  </si>
  <si>
    <t>Melakukan pengajaran untuk peserta pendidikan dokter melalui tindakan medik spesialistik</t>
  </si>
  <si>
    <t>Melakukan pengajaran Konsultasi spesialis kepada peserta pendidikan dokter</t>
  </si>
  <si>
    <t>c.</t>
  </si>
  <si>
    <t>Melakukan pemeriksaan luar dengan pembimbingan terhadap peserta pendidikan dokter</t>
  </si>
  <si>
    <t>d.</t>
  </si>
  <si>
    <t>Melakukan pemeriksaan dalam dengan pembimbingan terhadap peserta pendidikan dokter</t>
  </si>
  <si>
    <t>e.</t>
  </si>
  <si>
    <t>Menjadi saksi ahli dengan pembimbingan terhadap peserta pendidikan dokter</t>
  </si>
  <si>
    <t>II.B.0.</t>
  </si>
  <si>
    <t>mahasiswa</t>
  </si>
  <si>
    <t>II.C.0.</t>
  </si>
  <si>
    <t>II.D.1.</t>
  </si>
  <si>
    <t>Disertasi</t>
  </si>
  <si>
    <t>lulusan/ semester</t>
  </si>
  <si>
    <t>Tesis</t>
  </si>
  <si>
    <t>Skripsi</t>
  </si>
  <si>
    <t>Laporan akhir studi</t>
  </si>
  <si>
    <t>II.D.2.</t>
  </si>
  <si>
    <t>II.E.1.</t>
  </si>
  <si>
    <t>II.E.2.</t>
  </si>
  <si>
    <t>II.F.0.</t>
  </si>
  <si>
    <t>kegiatan/ semester</t>
  </si>
  <si>
    <t>II.G.0.</t>
  </si>
  <si>
    <t>matkul/ semester</t>
  </si>
  <si>
    <t>II.H.1.</t>
  </si>
  <si>
    <t>buku/ tahun</t>
  </si>
  <si>
    <t>II.H.2.</t>
  </si>
  <si>
    <t>produk/ semester</t>
  </si>
  <si>
    <t>II.I.0.</t>
  </si>
  <si>
    <t>orasi/ semester</t>
  </si>
  <si>
    <t>II.J.1.</t>
  </si>
  <si>
    <t>jabatan/ semester</t>
  </si>
  <si>
    <t>II.J.2.</t>
  </si>
  <si>
    <t>II.J.3.</t>
  </si>
  <si>
    <t>II.J.4.</t>
  </si>
  <si>
    <t>II.J.5.</t>
  </si>
  <si>
    <t>II.J.6.</t>
  </si>
  <si>
    <t>II.J.7.</t>
  </si>
  <si>
    <t>II.J.8.</t>
  </si>
  <si>
    <t>II.K.1.</t>
  </si>
  <si>
    <t>orang/ semester</t>
  </si>
  <si>
    <t>II.K.2.</t>
  </si>
  <si>
    <t>II.L.1.</t>
  </si>
  <si>
    <t>II.L.2.</t>
  </si>
  <si>
    <t>II.M.1.</t>
  </si>
  <si>
    <t>II.M.2.</t>
  </si>
  <si>
    <t>II.M.3.</t>
  </si>
  <si>
    <t>II.M.4.</t>
  </si>
  <si>
    <t>II.M.5.</t>
  </si>
  <si>
    <t>II.M.6.</t>
  </si>
  <si>
    <t>II.M.7.</t>
  </si>
  <si>
    <t>III.A.1.</t>
  </si>
  <si>
    <t>Buku referensi</t>
  </si>
  <si>
    <t>Monograf</t>
  </si>
  <si>
    <t>III.A.2.</t>
  </si>
  <si>
    <t>Internasional</t>
  </si>
  <si>
    <t>III.A.3.</t>
  </si>
  <si>
    <t>Jurnal internasional bereputasi (terindek pada database internasional bereputasi dan berfaktor dampak)</t>
  </si>
  <si>
    <t>Jurnal internasional terindek pada database internasional bereputasi</t>
  </si>
  <si>
    <t>Jurnal internasional terindeks pada database internasional di luar kategori 2)</t>
  </si>
  <si>
    <t>Jurnal Nasional terakreditasi</t>
  </si>
  <si>
    <t>e1.</t>
  </si>
  <si>
    <t>Jurnal Nasional berbahasa Indonesia terindek pada DOAJ</t>
  </si>
  <si>
    <t>e2.</t>
  </si>
  <si>
    <t>Jurnal Nasional berbahasa Inggris atau bahasa resmi (PBB) terindek pada DOAJ</t>
  </si>
  <si>
    <t>f.</t>
  </si>
  <si>
    <t>Jurnal Nasional</t>
  </si>
  <si>
    <t>g.</t>
  </si>
  <si>
    <t>Jurnal ilmiah yang ditulis dalam Bahasa Resmi PBB namun tidak memenuhi syarat-syarat sebagai jurnal ilmiah internasional</t>
  </si>
  <si>
    <t>III.B.1.</t>
  </si>
  <si>
    <t>III.B.2.</t>
  </si>
  <si>
    <t>III.B.3.</t>
  </si>
  <si>
    <t>III.B.4.</t>
  </si>
  <si>
    <t>III.B.5.</t>
  </si>
  <si>
    <t>III.C.0.</t>
  </si>
  <si>
    <t>III.D.0.</t>
  </si>
  <si>
    <t>III.E.0.</t>
  </si>
  <si>
    <t>III.F.1.</t>
  </si>
  <si>
    <t>III.F.2.</t>
  </si>
  <si>
    <t>III.G.1.</t>
  </si>
  <si>
    <t>III.G.2.</t>
  </si>
  <si>
    <t>III.G.3.</t>
  </si>
  <si>
    <t>III.H.1.</t>
  </si>
  <si>
    <t>Lokal</t>
  </si>
  <si>
    <t>III.H.2.</t>
  </si>
  <si>
    <t>III.H.3.</t>
  </si>
  <si>
    <t>III.I.1.</t>
  </si>
  <si>
    <t>III.I.2.</t>
  </si>
  <si>
    <t>III.I.3.</t>
  </si>
  <si>
    <t>IV.A.0.</t>
  </si>
  <si>
    <t>IV.B.0.</t>
  </si>
  <si>
    <t>IV.C.1.</t>
  </si>
  <si>
    <t>Tingkat Internasional tiap program</t>
  </si>
  <si>
    <t>Tingkat Nasional, tiap program</t>
  </si>
  <si>
    <t>Tingkat Lokal, tiap program</t>
  </si>
  <si>
    <t>IV.C.2.</t>
  </si>
  <si>
    <t>Insidental, tiap kegiatan/program</t>
  </si>
  <si>
    <t>IV.D.1.</t>
  </si>
  <si>
    <t>IV.D.2.</t>
  </si>
  <si>
    <t>IV.D.3.</t>
  </si>
  <si>
    <t>IV.E.0.</t>
  </si>
  <si>
    <t>V.A.1.</t>
  </si>
  <si>
    <t>V.A.2.</t>
  </si>
  <si>
    <t>V.B.1.</t>
  </si>
  <si>
    <t>Ketua/Wakil Ketua, tiap kepanitiaan</t>
  </si>
  <si>
    <t>Anggota, tiap kepanitiaan</t>
  </si>
  <si>
    <t>V.B.2.</t>
  </si>
  <si>
    <t>V.C.1.</t>
  </si>
  <si>
    <t>Pengurus, tiap periode jabatan**</t>
  </si>
  <si>
    <t>Anggota atas permintaan, tiap periode jabatan*</t>
  </si>
  <si>
    <t>Anggota, tiap periode jabatan*</t>
  </si>
  <si>
    <t>V.C.2.</t>
  </si>
  <si>
    <t>Pengurus, tiap periode jabatan</t>
  </si>
  <si>
    <t>Anggota atas permintaan, tiap periode jabatan</t>
  </si>
  <si>
    <t>Anggota, tiap periode jabatan</t>
  </si>
  <si>
    <t>V.D.0.</t>
  </si>
  <si>
    <t>V.E.1.</t>
  </si>
  <si>
    <t>V.E.2.</t>
  </si>
  <si>
    <t>V.F.1.</t>
  </si>
  <si>
    <t>V.F.2.</t>
  </si>
  <si>
    <t>V.G.1.</t>
  </si>
  <si>
    <t>Ketua, tiap kegiatan</t>
  </si>
  <si>
    <t>Anggota/peserta, tiap kegiatan</t>
  </si>
  <si>
    <t>V.G.2.</t>
  </si>
  <si>
    <t>V.H.1.</t>
  </si>
  <si>
    <t>V.H.2.</t>
  </si>
  <si>
    <t>V.H.3.</t>
  </si>
  <si>
    <t>V.H.4.</t>
  </si>
  <si>
    <t>V.H.5.</t>
  </si>
  <si>
    <t>V.H.6.</t>
  </si>
  <si>
    <t>V.I.1.</t>
  </si>
  <si>
    <t>V.I.2.</t>
  </si>
  <si>
    <t>V.I.3.</t>
  </si>
  <si>
    <t>V.J.1.</t>
  </si>
  <si>
    <t>V.J.2.</t>
  </si>
  <si>
    <t>V.J.3.</t>
  </si>
  <si>
    <t>V.K.0.</t>
  </si>
  <si>
    <t>10SksPertama</t>
  </si>
  <si>
    <t>2SksBerikut</t>
  </si>
  <si>
    <t>Jabatan saat ini</t>
  </si>
  <si>
    <t>kum</t>
  </si>
  <si>
    <t>Jabatan yang dituju</t>
  </si>
  <si>
    <t>Pendidikan dalam jabatan terakhir</t>
  </si>
  <si>
    <t>Pendidikan terakhir yang akan dinilai</t>
  </si>
  <si>
    <t>Angka kredit yang dibutuhkan</t>
  </si>
  <si>
    <t>Rencana waktu tempuh</t>
  </si>
  <si>
    <t>Target angka kredit tahunan</t>
  </si>
  <si>
    <t>Perolehan</t>
  </si>
  <si>
    <t>_1A1</t>
  </si>
  <si>
    <t>_1A2</t>
  </si>
  <si>
    <t>_2A1 Kewenangan</t>
  </si>
  <si>
    <t>_2A2 Batas SKS</t>
  </si>
  <si>
    <t>Mata Kuliah</t>
  </si>
  <si>
    <t>Jumlah</t>
  </si>
  <si>
    <t>FORMULIR PENGISIAN</t>
  </si>
  <si>
    <t>Membimbing seminar mahasiswa</t>
  </si>
  <si>
    <t>Semester</t>
  </si>
  <si>
    <t>Jenis Kegiatan</t>
  </si>
  <si>
    <t>Kalender</t>
  </si>
  <si>
    <t>Semester 1</t>
  </si>
  <si>
    <t>Semester 2</t>
  </si>
  <si>
    <t>Membimbing PKN, KKN, dan PKL</t>
  </si>
  <si>
    <t>Kegiatan</t>
  </si>
  <si>
    <t>_1BC1</t>
  </si>
  <si>
    <t>Target Kegiatan dan Angka Kredit</t>
  </si>
  <si>
    <t>Jml Keg</t>
  </si>
  <si>
    <t>Lulus</t>
  </si>
  <si>
    <t>Pilihan</t>
  </si>
  <si>
    <t>Ya</t>
  </si>
  <si>
    <t>Tidak</t>
  </si>
  <si>
    <t>Terlaksana</t>
  </si>
  <si>
    <t>Sasaran</t>
  </si>
  <si>
    <t>Tercapai</t>
  </si>
  <si>
    <t>Nama Mahasiswa</t>
  </si>
  <si>
    <t>Jenis Bimbingan</t>
  </si>
  <si>
    <t>Pembimbing</t>
  </si>
  <si>
    <t>Jenis</t>
  </si>
  <si>
    <t>Penguji</t>
  </si>
  <si>
    <t>Bimbingan</t>
  </si>
  <si>
    <t>Desertasi</t>
  </si>
  <si>
    <t>Tugas Akhir</t>
  </si>
  <si>
    <t>Utama</t>
  </si>
  <si>
    <t>Pendamping</t>
  </si>
  <si>
    <t>Ketua</t>
  </si>
  <si>
    <t>Sekretaris</t>
  </si>
  <si>
    <t>Anggota</t>
  </si>
  <si>
    <t>Column1</t>
  </si>
  <si>
    <t>Column2</t>
  </si>
  <si>
    <t>Column3</t>
  </si>
  <si>
    <t>Column4</t>
  </si>
  <si>
    <t>Column5</t>
  </si>
  <si>
    <t>Column6</t>
  </si>
  <si>
    <t>Column7</t>
  </si>
  <si>
    <t>Maksimal</t>
  </si>
  <si>
    <t>_2DE2 Kredit Pembimbing</t>
  </si>
  <si>
    <t>_2DE1 Jumlah Kegiatan</t>
  </si>
  <si>
    <t>_2DE3 Kredit Pembimbing</t>
  </si>
  <si>
    <t>Kgt</t>
  </si>
  <si>
    <t>_2DE4 Kredit Penguji</t>
  </si>
  <si>
    <t>Target</t>
  </si>
  <si>
    <t>Capaian</t>
  </si>
  <si>
    <t>Membimbing</t>
  </si>
  <si>
    <t>Menguji</t>
  </si>
  <si>
    <t>Jml</t>
  </si>
  <si>
    <t>∑</t>
  </si>
  <si>
    <t>Ak</t>
  </si>
  <si>
    <t>Capaian Membimbing</t>
  </si>
  <si>
    <t>Total</t>
  </si>
  <si>
    <t>Capaian Menguji</t>
  </si>
  <si>
    <t>Periode</t>
  </si>
  <si>
    <t>F</t>
  </si>
  <si>
    <t>Batas</t>
  </si>
  <si>
    <t>Komponen</t>
  </si>
  <si>
    <t>B</t>
  </si>
  <si>
    <t>C</t>
  </si>
  <si>
    <t>G</t>
  </si>
  <si>
    <t>I</t>
  </si>
  <si>
    <t>_2BCFGI</t>
  </si>
  <si>
    <t>Target Kegiatan &amp; Angka Kredit</t>
  </si>
  <si>
    <t>J</t>
  </si>
  <si>
    <t>Capaian Angka Kredit</t>
  </si>
  <si>
    <t>Diktat</t>
  </si>
  <si>
    <t>Modul</t>
  </si>
  <si>
    <t>Petunjuk praktikum</t>
  </si>
  <si>
    <t>Model</t>
  </si>
  <si>
    <t>Alat bantu</t>
  </si>
  <si>
    <t>Audio visual</t>
  </si>
  <si>
    <t>Naskah tutorial</t>
  </si>
  <si>
    <t>_2H Bahan Ajar</t>
  </si>
  <si>
    <t>Bahan Ajar</t>
  </si>
  <si>
    <t>Jenis Bahan Ajar</t>
  </si>
  <si>
    <t>Nama Bahan Ajar</t>
  </si>
  <si>
    <t>Bentuk PT</t>
  </si>
  <si>
    <t>Universitas</t>
  </si>
  <si>
    <t>Institut</t>
  </si>
  <si>
    <t>Sekolah Tinggi</t>
  </si>
  <si>
    <t>Akademi</t>
  </si>
  <si>
    <t>Politeknik</t>
  </si>
  <si>
    <t>Struktural</t>
  </si>
  <si>
    <t>Pembantu Rektor</t>
  </si>
  <si>
    <t>Wakil Rektor</t>
  </si>
  <si>
    <t>Dekan</t>
  </si>
  <si>
    <t>Direktur Pasca Sarjana</t>
  </si>
  <si>
    <t>Ketua Sekolah Tinggi</t>
  </si>
  <si>
    <t>Pembantu Dekan</t>
  </si>
  <si>
    <t>Asisten Direktur Pasca Sarjana</t>
  </si>
  <si>
    <t>Pembantu Ketua Sekolah Tinggi</t>
  </si>
  <si>
    <t>Pembantu Direktur Politeknik</t>
  </si>
  <si>
    <t>Direktur Akademi</t>
  </si>
  <si>
    <t>Pembantu Direktur Akademi</t>
  </si>
  <si>
    <t>Ketua Jurusan/Bagian (Universitas)</t>
  </si>
  <si>
    <t>Ketua Jurusan/Bagian (Institut)</t>
  </si>
  <si>
    <t>Ketua Jurusan/Bagian (Sekolah Tinggi)</t>
  </si>
  <si>
    <t>Ketua Jurusan (Politeknik)</t>
  </si>
  <si>
    <t>Ketua Jurusan (Akademi)</t>
  </si>
  <si>
    <t>Sekretaris Jurusan/Bagian (Universitas)</t>
  </si>
  <si>
    <t>Sekretaris Jurusan/Bagian (Institut)</t>
  </si>
  <si>
    <t>Sekretaris Jurusan/Bagian (Sekolah Tinggi)</t>
  </si>
  <si>
    <t>Sekretaris Jurusan (Politeknik)</t>
  </si>
  <si>
    <t>Sekretaris Jurusan (Akademi)</t>
  </si>
  <si>
    <t>Kepala Laboratorium (Bengkel)</t>
  </si>
  <si>
    <t>_2J Struktural</t>
  </si>
  <si>
    <t>Nama PT</t>
  </si>
  <si>
    <t>_2K Pencangkokan</t>
  </si>
  <si>
    <t>_2L Detasering</t>
  </si>
  <si>
    <t>Nama Terbimbing</t>
  </si>
  <si>
    <t>Nama Kegiatan</t>
  </si>
  <si>
    <t>Jumlah Jam</t>
  </si>
  <si>
    <t>Pelatihan</t>
  </si>
  <si>
    <t>_2M Pelatihan</t>
  </si>
  <si>
    <t>Jenjang</t>
  </si>
  <si>
    <t>SKS</t>
  </si>
  <si>
    <t>Kelas</t>
  </si>
  <si>
    <t xml:space="preserve">Dosen </t>
  </si>
  <si>
    <t>Riil</t>
  </si>
  <si>
    <t>Konversi</t>
  </si>
  <si>
    <t>Nama</t>
  </si>
  <si>
    <t>Ketercapaian</t>
  </si>
  <si>
    <t>Sks</t>
  </si>
  <si>
    <t>10.I</t>
  </si>
  <si>
    <t>2.&gt;&gt;</t>
  </si>
  <si>
    <t>1 Tahun</t>
  </si>
  <si>
    <t>III.A.1.a.</t>
  </si>
  <si>
    <t>III.A.1.b.</t>
  </si>
  <si>
    <t>III.A.2.a.</t>
  </si>
  <si>
    <t>III.A.2.b.</t>
  </si>
  <si>
    <t>III.A.3.a.</t>
  </si>
  <si>
    <t>III.A.3.b.</t>
  </si>
  <si>
    <t>III.A.3.c.</t>
  </si>
  <si>
    <t>III.A.3.e1.</t>
  </si>
  <si>
    <t>III.A.3.e2.</t>
  </si>
  <si>
    <t>III.A.3.f.</t>
  </si>
  <si>
    <t>III.A.3.g.</t>
  </si>
  <si>
    <t>III.B.1.a.</t>
  </si>
  <si>
    <t>III.B.1.b.</t>
  </si>
  <si>
    <t>III.B.2.a.</t>
  </si>
  <si>
    <t>III.B.2.b.</t>
  </si>
  <si>
    <t>III.B.3.a.</t>
  </si>
  <si>
    <t>III.B.3.b.</t>
  </si>
  <si>
    <t>III.B.4.a.</t>
  </si>
  <si>
    <t>III.B.4.b.</t>
  </si>
  <si>
    <t>III.B.5.a.</t>
  </si>
  <si>
    <t>III.C.0.a.</t>
  </si>
  <si>
    <t>III.D.0.a.</t>
  </si>
  <si>
    <t>III.E.0.a.</t>
  </si>
  <si>
    <t>III.F.1.a.</t>
  </si>
  <si>
    <t>III.F.2.a.</t>
  </si>
  <si>
    <t>III.G.1.a.</t>
  </si>
  <si>
    <t>III.G.2.a.</t>
  </si>
  <si>
    <t>III.G.3.a.</t>
  </si>
  <si>
    <t>III.H.1.a.</t>
  </si>
  <si>
    <t>III.H.1.b.</t>
  </si>
  <si>
    <t>III.H.1.c.</t>
  </si>
  <si>
    <t>III.H.2.a.</t>
  </si>
  <si>
    <t>III.H.2.b.</t>
  </si>
  <si>
    <t>III.H.2.c.</t>
  </si>
  <si>
    <t>III.H.3.a.</t>
  </si>
  <si>
    <t>III.H.3.b.</t>
  </si>
  <si>
    <t>III.H.3.c.</t>
  </si>
  <si>
    <t>III.I.1.a.</t>
  </si>
  <si>
    <t>III.I.1.b.</t>
  </si>
  <si>
    <t>III.I.1.c.</t>
  </si>
  <si>
    <t>III.I.2.a.</t>
  </si>
  <si>
    <t>III.I.2.b.</t>
  </si>
  <si>
    <t>III.I.2.c.</t>
  </si>
  <si>
    <t>III.I.3.a.</t>
  </si>
  <si>
    <t>III.I.3.b.</t>
  </si>
  <si>
    <t>III.I.3.c.</t>
  </si>
  <si>
    <t>Kode</t>
  </si>
  <si>
    <t>Judul</t>
  </si>
  <si>
    <t>Output</t>
  </si>
  <si>
    <t>------------------------------------------------------------------------------------------------------------------------------------------------------------------------------------------------------------------------------------------------</t>
  </si>
  <si>
    <t>W/TJ</t>
  </si>
  <si>
    <t>Jumlah Kegiatan dan Angka Kredit</t>
  </si>
  <si>
    <t>Ket</t>
  </si>
  <si>
    <t>Perancangan Sistem Autopilot pada Bentor - Becak Motor di daerah Tandus Mojokerto</t>
  </si>
  <si>
    <t>__2A1TJ</t>
  </si>
  <si>
    <t>__2A2TJ</t>
  </si>
  <si>
    <t>__2A1TK</t>
  </si>
  <si>
    <t>__2A2TK</t>
  </si>
  <si>
    <t>__2</t>
  </si>
  <si>
    <t>A</t>
  </si>
  <si>
    <t>D</t>
  </si>
  <si>
    <t>E</t>
  </si>
  <si>
    <t>H</t>
  </si>
  <si>
    <t>K</t>
  </si>
  <si>
    <t>L</t>
  </si>
  <si>
    <t>M</t>
  </si>
  <si>
    <t>1TJ</t>
  </si>
  <si>
    <t>2TJ</t>
  </si>
  <si>
    <t>1TK</t>
  </si>
  <si>
    <t>2TK</t>
  </si>
  <si>
    <t>1CJ</t>
  </si>
  <si>
    <t>2CJ</t>
  </si>
  <si>
    <t>1CK</t>
  </si>
  <si>
    <t>2CK</t>
  </si>
  <si>
    <t>Melaksanakan perkuliahan (setiap semester)</t>
  </si>
  <si>
    <t>Membina kegiatan mahasiswa di bidang akademik dan kemahasiswaan (setiap semester)</t>
  </si>
  <si>
    <t>Uraian</t>
  </si>
  <si>
    <t>Kum</t>
  </si>
  <si>
    <t>Membimbing dan ikut membimbing dalam menghasilkan laporan akhir studi yang sesuai bidang penugasannya</t>
  </si>
  <si>
    <t>Opt</t>
  </si>
  <si>
    <t>__3</t>
  </si>
  <si>
    <t>__4</t>
  </si>
  <si>
    <t>__5</t>
  </si>
  <si>
    <t>12TJ</t>
  </si>
  <si>
    <t>12TK</t>
  </si>
  <si>
    <t>12CJ</t>
  </si>
  <si>
    <t>12CK</t>
  </si>
  <si>
    <t>No</t>
  </si>
  <si>
    <t>FORMULIR SASARAN KERJA</t>
  </si>
  <si>
    <t>NO</t>
  </si>
  <si>
    <t>I. PEJABAT PENILAI</t>
  </si>
  <si>
    <t>II. PEGAWAI NEGERI SIPIL YANG DINILAI</t>
  </si>
  <si>
    <t>NIP</t>
  </si>
  <si>
    <t>Unit Kerja</t>
  </si>
  <si>
    <t>III. KEGIATAN TUGAS JABATAN</t>
  </si>
  <si>
    <t>AK</t>
  </si>
  <si>
    <t>TARGET</t>
  </si>
  <si>
    <t>WAKTU</t>
  </si>
  <si>
    <t>BIAYA</t>
  </si>
  <si>
    <t>Qty</t>
  </si>
  <si>
    <t>Qlt</t>
  </si>
  <si>
    <t>QtySat</t>
  </si>
  <si>
    <t>Waktu</t>
  </si>
  <si>
    <t>WaktuSat</t>
  </si>
  <si>
    <t>Biaya</t>
  </si>
  <si>
    <t>Satuan</t>
  </si>
  <si>
    <t>sks</t>
  </si>
  <si>
    <t>kegiatan</t>
  </si>
  <si>
    <t>lulusan</t>
  </si>
  <si>
    <t>mata kuliah</t>
  </si>
  <si>
    <t>produk</t>
  </si>
  <si>
    <t>orasi</t>
  </si>
  <si>
    <t>jabatan</t>
  </si>
  <si>
    <t>orang</t>
  </si>
  <si>
    <t>IV/e</t>
  </si>
  <si>
    <t>IV/d</t>
  </si>
  <si>
    <t>IV/c</t>
  </si>
  <si>
    <t>IV/b</t>
  </si>
  <si>
    <t>IV/a</t>
  </si>
  <si>
    <t>III/d</t>
  </si>
  <si>
    <t>III/c</t>
  </si>
  <si>
    <t>III/b</t>
  </si>
  <si>
    <t>III/a</t>
  </si>
  <si>
    <t>II/d</t>
  </si>
  <si>
    <t>II/c</t>
  </si>
  <si>
    <t>II/b</t>
  </si>
  <si>
    <t>II/a</t>
  </si>
  <si>
    <t>I/d</t>
  </si>
  <si>
    <t>I/c</t>
  </si>
  <si>
    <t>I/b</t>
  </si>
  <si>
    <t>I/a</t>
  </si>
  <si>
    <t>Pembina Utama</t>
  </si>
  <si>
    <t>Pembina Utama Madya</t>
  </si>
  <si>
    <t>Pembina Utama Muda</t>
  </si>
  <si>
    <t>Pembina Tingkat I</t>
  </si>
  <si>
    <t>Pembina</t>
  </si>
  <si>
    <t>Penata Tingkat I</t>
  </si>
  <si>
    <t xml:space="preserve">Penata </t>
  </si>
  <si>
    <t>Penata Muda Tingkat I</t>
  </si>
  <si>
    <t xml:space="preserve">Penata Muda </t>
  </si>
  <si>
    <t>Pengatur Tingkat I</t>
  </si>
  <si>
    <t xml:space="preserve">Pengatur </t>
  </si>
  <si>
    <t>Pengatur Muda Tingkat I</t>
  </si>
  <si>
    <t xml:space="preserve">Pengatur Muda </t>
  </si>
  <si>
    <t>Juru Tingkat I</t>
  </si>
  <si>
    <t xml:space="preserve">Juru </t>
  </si>
  <si>
    <t>Juru Muda Tingkat I</t>
  </si>
  <si>
    <t xml:space="preserve">Juru Muda </t>
  </si>
  <si>
    <t>Golongan</t>
  </si>
  <si>
    <t>Pangkat</t>
  </si>
  <si>
    <t>Durasi</t>
  </si>
  <si>
    <t>DurasiSat</t>
  </si>
  <si>
    <t>bulan</t>
  </si>
  <si>
    <t>-</t>
  </si>
  <si>
    <t>Kualitas</t>
  </si>
  <si>
    <t>Ak2</t>
  </si>
  <si>
    <t>Qty2</t>
  </si>
  <si>
    <t>QtySat2</t>
  </si>
  <si>
    <t>Qlt2</t>
  </si>
  <si>
    <t>Waktu2</t>
  </si>
  <si>
    <t>WaktuSat2</t>
  </si>
  <si>
    <t>Biaya2</t>
  </si>
  <si>
    <t>_error_capaian_skp</t>
  </si>
  <si>
    <t>_qty</t>
  </si>
  <si>
    <t>_persen_waktu</t>
  </si>
  <si>
    <t>_persen_biaya</t>
  </si>
  <si>
    <t>_kuantitas</t>
  </si>
  <si>
    <t>_kualitas</t>
  </si>
  <si>
    <t>_waktu</t>
  </si>
  <si>
    <t>_biaya</t>
  </si>
  <si>
    <t>_rw&lt;24</t>
  </si>
  <si>
    <t>_rw&gt;24</t>
  </si>
  <si>
    <t>_rb&lt;24</t>
  </si>
  <si>
    <t>_rb&gt;24</t>
  </si>
  <si>
    <t>_penghitungan</t>
  </si>
  <si>
    <t>Penghitungan</t>
  </si>
  <si>
    <t>FORMULA AREA</t>
  </si>
  <si>
    <t>PENGHITUNGAN</t>
  </si>
  <si>
    <t>NILAI CAPAIAN SKP</t>
  </si>
  <si>
    <t>REALISASI</t>
  </si>
  <si>
    <t>KUAL/ MUTU</t>
  </si>
  <si>
    <t>KUANT/ OUTPUT</t>
  </si>
  <si>
    <t>I. KEGIATAN TUGAS JABATAN</t>
  </si>
  <si>
    <t>II. TUGAS TAMBAHAN / KREATIVITAS</t>
  </si>
  <si>
    <t>Tugas Tambahan</t>
  </si>
  <si>
    <t>Kreativitas</t>
  </si>
  <si>
    <t xml:space="preserve">     4.</t>
  </si>
  <si>
    <t>UNSUR YANG DINILAI</t>
  </si>
  <si>
    <t>6. TANGGAPAN PEJABAT PENILAI</t>
  </si>
  <si>
    <t xml:space="preserve">a. Sasaran Kerja Pegawai (SKP)             </t>
  </si>
  <si>
    <t>x</t>
  </si>
  <si>
    <t xml:space="preserve">    ATAS KEBERATAN</t>
  </si>
  <si>
    <t>b. Perilaku Kerja</t>
  </si>
  <si>
    <t>1. Orientasi Pelayanan</t>
  </si>
  <si>
    <t>2. Integritas</t>
  </si>
  <si>
    <t>3. Komitmen</t>
  </si>
  <si>
    <t>4. Disiplin</t>
  </si>
  <si>
    <t>5. Kerjasama</t>
  </si>
  <si>
    <t>6. Kepemimpinan</t>
  </si>
  <si>
    <t>7. Jumlah</t>
  </si>
  <si>
    <t>Tanggal, ………………….</t>
  </si>
  <si>
    <t>8. Nilai rata – rata</t>
  </si>
  <si>
    <t>7. KEPUTUSAN ATASAN PEJABAT</t>
  </si>
  <si>
    <t>9. Nilai Perilaku Kerja</t>
  </si>
  <si>
    <t xml:space="preserve">    PENILAI ATAS KEBERATAN</t>
  </si>
  <si>
    <t>NILAI PRESTASI KERJA</t>
  </si>
  <si>
    <t>5. KEBERATAN DARI PEGAWAI NEGERI</t>
  </si>
  <si>
    <t xml:space="preserve">    SIPIL YANG DINILAI  (APABILA ADA)</t>
  </si>
  <si>
    <t>REKOMENDASI</t>
  </si>
  <si>
    <t>PENILAIAN PRESTASI KERJA</t>
  </si>
  <si>
    <t>JANGKA WAKTU PENILAIAN</t>
  </si>
  <si>
    <t>BULAN :</t>
  </si>
  <si>
    <t xml:space="preserve">     1.</t>
  </si>
  <si>
    <t>YANG DINILAI</t>
  </si>
  <si>
    <t>PEJABAT PENILAI</t>
  </si>
  <si>
    <t xml:space="preserve">     2.</t>
  </si>
  <si>
    <t xml:space="preserve">     3.</t>
  </si>
  <si>
    <t>ATASAN PEJABAT PENILAI</t>
  </si>
  <si>
    <t>LEMBAGA LAYANAN PENDIDIKAN TINGGI WILAYAH VII</t>
  </si>
  <si>
    <t>Kepangkatan</t>
  </si>
  <si>
    <t>a.  N a m a</t>
  </si>
  <si>
    <t>c.  Pangkat, Golongan ruang, TMT</t>
  </si>
  <si>
    <t>d.  Jabatan/Pekerjaan</t>
  </si>
  <si>
    <t>e.  Unit Organisasi</t>
  </si>
  <si>
    <t>Pangkat, Gol.Ruang</t>
  </si>
  <si>
    <t>KUANT/
OUTPUT</t>
  </si>
  <si>
    <t>Pejabat Penilai,</t>
  </si>
  <si>
    <t>Jumlah Angka Kredit</t>
  </si>
  <si>
    <t>PENILAIAN SASARAN KERJA</t>
  </si>
  <si>
    <t>Tanggal Penetapan</t>
  </si>
  <si>
    <t>Jangka Waktu Penilaian</t>
  </si>
  <si>
    <t>Instansi</t>
  </si>
  <si>
    <t>Tanggal dibuat oleh pejabat penilai</t>
  </si>
  <si>
    <t>Tanggal diterima atasan pejabat penilai</t>
  </si>
  <si>
    <t>Formulir Sasaran Kerja</t>
  </si>
  <si>
    <t>Penilaian Sasaran Kerja</t>
  </si>
  <si>
    <t>Penilaian Prestasi Kerja</t>
  </si>
  <si>
    <t>mohon untuk tidak melakukan perubahan pada warna ini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</si>
  <si>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</si>
  <si>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</si>
  <si>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</si>
  <si>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</si>
  <si>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</si>
  <si>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</si>
  <si>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</si>
  <si>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</si>
  <si>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</si>
  <si>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</si>
  <si>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Disetahunkan</t>
  </si>
  <si>
    <t>1TTJ</t>
  </si>
  <si>
    <t>1TTK</t>
  </si>
  <si>
    <t>1TCJ</t>
  </si>
  <si>
    <t>1TCK</t>
  </si>
  <si>
    <t>&gt;&gt; buku ajar</t>
  </si>
  <si>
    <t>Ketua Lembaga</t>
  </si>
  <si>
    <t>Direktur Politeknik</t>
  </si>
  <si>
    <t>J2</t>
  </si>
  <si>
    <t>Nama Jabatan</t>
  </si>
  <si>
    <t>Jenis Kepanitiaan</t>
  </si>
  <si>
    <t>Kegiatan &amp; Nama Lembaga</t>
  </si>
  <si>
    <t>Tingkat</t>
  </si>
  <si>
    <t>Nama Organisasi</t>
  </si>
  <si>
    <t>Nama Pertemuan</t>
  </si>
  <si>
    <t>IV.F.</t>
  </si>
  <si>
    <t>IV.G.</t>
  </si>
  <si>
    <t>V.G.3.</t>
  </si>
  <si>
    <t>V.G.4.</t>
  </si>
  <si>
    <t>V.G.5.</t>
  </si>
  <si>
    <t>V.G.6.</t>
  </si>
  <si>
    <t>V.J.0.</t>
  </si>
  <si>
    <t>IV.G.1.</t>
  </si>
  <si>
    <t>IV.G.2.</t>
  </si>
  <si>
    <t>Nama Kejuaraan</t>
  </si>
  <si>
    <t>Keanggotaan</t>
  </si>
  <si>
    <t>Jenis Penghargaan</t>
  </si>
  <si>
    <t>Nama Penghargaan</t>
  </si>
  <si>
    <t>Jenis Buku</t>
  </si>
  <si>
    <t>Tingkat Kejuaraan</t>
  </si>
  <si>
    <t>Prestasi</t>
  </si>
  <si>
    <t>III.c.</t>
  </si>
  <si>
    <t>III.d.</t>
  </si>
  <si>
    <t>III.e.</t>
  </si>
  <si>
    <t>d1.</t>
  </si>
  <si>
    <t>d2.</t>
  </si>
  <si>
    <t>III.A.3.d1.</t>
  </si>
  <si>
    <t>III.A.3.d2.</t>
  </si>
  <si>
    <t>Jurnal Nasional terakreditasi Dikti</t>
  </si>
  <si>
    <t>Jurnal nasional terakreditasi Kemenristekdikti peringkat 1 dan 2</t>
  </si>
  <si>
    <t>Jurnal Nasional berbahasa Inggris atau bahasa resmi (PBB) terindeks pada basis data yang diakui Kemenristekdikti, contohnya: CABI atau Index Copernicus International (ICI)</t>
  </si>
  <si>
    <t>Jurnal nasional terakreditasi peringkat 3 dan 4</t>
  </si>
  <si>
    <t>e3.</t>
  </si>
  <si>
    <t>III.A.3.e3.</t>
  </si>
  <si>
    <t>Jurnal Nasional berbahasa Indonesia terindeks pada basis data yang diakui Kemenristekdikti, contohnya: akreditasi peringkat 5 dan 6</t>
  </si>
  <si>
    <t>III.B.1.c.</t>
  </si>
  <si>
    <t>III.B.1.d.</t>
  </si>
  <si>
    <t>Internasional terindeks pada Scimagojr dan Scopus</t>
  </si>
  <si>
    <t>Internasional terindeks pada SCOPUS, IEEE Explore, SPIE</t>
  </si>
  <si>
    <t>Hasil penelitian atau pemikiran atau kerjasama industri yang tidak dipublikasikan (tersimpan dalam perpustakaan) yang dilakukan secara melembaga</t>
  </si>
  <si>
    <t xml:space="preserve">Membuat rancangan dan karya teknologi yang dipatenkan atau seni yang terdaftar di HaKI secara nasional atau internasional </t>
  </si>
  <si>
    <t>III.F.3.</t>
  </si>
  <si>
    <t>III.F.4.</t>
  </si>
  <si>
    <t>III.F.3.a.</t>
  </si>
  <si>
    <t>III.F.4.a.</t>
  </si>
  <si>
    <t>Internasional yang sudah diimplementasikan di industri (paling sedikit diakui oleh 4 Negara)</t>
  </si>
  <si>
    <t>Nasional (yang sudah diimplementasikan di industri)</t>
  </si>
  <si>
    <t>III.F.5.</t>
  </si>
  <si>
    <t>III.F.6.</t>
  </si>
  <si>
    <t>III.F.5.a.</t>
  </si>
  <si>
    <t>III.F.6.a.</t>
  </si>
  <si>
    <t>Nasional, dalam bentuk paten sederhana yang telah memiliki sertifikat dari Direktorat Jenderal Kekayaan Intelektual, Kemenkumham</t>
  </si>
  <si>
    <t>Karya ciptaan, desain industri, indikasi geografis yang telah memiliki sertifikat dari Direktorat Jenderal Kekayaan Intelektual, Kemenkumham</t>
  </si>
  <si>
    <t>Membuat rancangan dan karya teknologi yang tidak dipatenkan; rancangan dan karya seni monumental yang tidak terdaftar di HaKI tetapi telah dipresentasikan pada forum yang teragenda</t>
  </si>
  <si>
    <t>Hasil kegiatan pengabdian kepada masyarakat yang dipublikasikan di sebuah berkala/jurnal pengabdian kepada masyarakat atau teknologi tepat guna, merupakan diseminasi dari luaran program kegiatan pengabdian kepada masyarakat, tiap karya</t>
  </si>
  <si>
    <t>IV.F.0.</t>
  </si>
  <si>
    <t>Jurnal</t>
  </si>
  <si>
    <t>Nama Mahasiswa (seminar) / Lokasi (praktik kerja)</t>
  </si>
  <si>
    <t>Kedudukan</t>
  </si>
  <si>
    <t>Aktif</t>
  </si>
  <si>
    <t>Tugas Belajar</t>
  </si>
  <si>
    <t>MPP</t>
  </si>
  <si>
    <t>Lainnya</t>
  </si>
  <si>
    <t>Pejabat Penilai</t>
  </si>
  <si>
    <t>Atasan Pejabat Penilai</t>
  </si>
  <si>
    <t>tuliskan nama lengkap dan gelar</t>
  </si>
  <si>
    <t>tambahkan tanda petik tunggal sebelum NIP, cth : '198208192009121002</t>
  </si>
  <si>
    <t>Pejabat Negara</t>
  </si>
  <si>
    <t>CLTN</t>
  </si>
  <si>
    <t>Diberhentikan Sementara</t>
  </si>
  <si>
    <t>Cuti sakit 1 tahun</t>
  </si>
  <si>
    <t>Ambang</t>
  </si>
  <si>
    <t>SkpAtas</t>
  </si>
  <si>
    <t>SkpBawah</t>
  </si>
  <si>
    <t>Baik</t>
  </si>
  <si>
    <t>Cukup</t>
  </si>
  <si>
    <t>CukupInterval</t>
  </si>
  <si>
    <t>BaikInterval</t>
  </si>
  <si>
    <t>NilaiSKP</t>
  </si>
  <si>
    <t>BaikAtasIp</t>
  </si>
  <si>
    <t>BaikBawahIp</t>
  </si>
  <si>
    <t>CukupBawahIp</t>
  </si>
  <si>
    <t>SkpInterval</t>
  </si>
  <si>
    <t>IpBawah</t>
  </si>
  <si>
    <t>IpAtas</t>
  </si>
  <si>
    <t>IpInterval</t>
  </si>
  <si>
    <t>Ip</t>
  </si>
  <si>
    <t>IP Semester</t>
  </si>
  <si>
    <t>Kinerja</t>
  </si>
  <si>
    <t>Hasil Konversi Menurut Kalkulator BKN</t>
  </si>
  <si>
    <t>Rerata</t>
  </si>
  <si>
    <t>:</t>
  </si>
  <si>
    <t>Nama Perguruan Tinggi Penyelenggara Pendidikan</t>
  </si>
  <si>
    <t>dipilih berdasarkan pangkat terakhir</t>
  </si>
  <si>
    <t>dipilih berdasarkan jabatan terakhir</t>
  </si>
  <si>
    <t>dipilih berdasarkan pendidikan terakhir</t>
  </si>
  <si>
    <t>Sebutan</t>
  </si>
  <si>
    <t>Sangat Baik</t>
  </si>
  <si>
    <t>Kurang</t>
  </si>
  <si>
    <t>Buruk</t>
  </si>
  <si>
    <t>Perilaku</t>
  </si>
  <si>
    <t>PENILAIAN PRESTASI AKADEMIK BAGI PNS YANG SEDANG MELAKSANAKAN TUGAS BELAJAR</t>
  </si>
  <si>
    <t>TIM HKT LLDIKTI WILAYAH VII</t>
  </si>
  <si>
    <t>Tidak merubah sel formulasi yang berwarna merah</t>
  </si>
  <si>
    <t>* II.A. -- V.J.
* TUBEL_PENGISIAN</t>
  </si>
  <si>
    <t>Mengisi pada sel yang berwarna hijau</t>
  </si>
  <si>
    <t>* IDENTITAS dan TANGGAL PENETAPAN
* SKP
* PENGUKURAN
* PENILAIAN</t>
  </si>
  <si>
    <t>KESEPAKATAN</t>
  </si>
  <si>
    <t>SHEET / LEMBAR KERJA</t>
  </si>
  <si>
    <t>* TabelUtama
* TabelTurunan
* TabelTurunan3
* Tabel Referensi
* ReferensiAk
* TabelUraian</t>
  </si>
  <si>
    <t>Tidak merubah apapun pada sheet yang disembunyikan</t>
  </si>
  <si>
    <t>* SKP
* PENGUKURAN
* PENILAIAN</t>
  </si>
  <si>
    <t>Cetak dengan mode Hitam Putih</t>
  </si>
  <si>
    <t>OPERASIONAL</t>
  </si>
  <si>
    <t>Menambah baris</t>
  </si>
  <si>
    <t>Menghapus baris</t>
  </si>
  <si>
    <t>Menyisipkan baris</t>
  </si>
  <si>
    <t>NIP/NPK</t>
  </si>
  <si>
    <t>UNIVERSITAS MUHAMMADIYAH JEMBER</t>
  </si>
  <si>
    <t>Pegawai Yang Dinilai,</t>
  </si>
  <si>
    <t>PEGAWAI PERSYARIKATAN</t>
  </si>
  <si>
    <t>Pegawai Yang Dinilai</t>
  </si>
  <si>
    <t>Tanggal diterima Pegawai yang dinilai</t>
  </si>
  <si>
    <t>NIP/ NPK</t>
  </si>
  <si>
    <t>b.  N I P/NPK</t>
  </si>
  <si>
    <t>PEGAWAI PERSYARIKATAN YANG DINILAI</t>
  </si>
  <si>
    <t>31 Desember 2023</t>
  </si>
  <si>
    <t>6  Januari 2024</t>
  </si>
  <si>
    <t>2 Januari 2023</t>
  </si>
  <si>
    <t>2 Januari s.d. 31 Desember 2023</t>
  </si>
  <si>
    <t>2 Januari 2024</t>
  </si>
  <si>
    <t>4  Januari 2024</t>
  </si>
  <si>
    <t>tuliskan Program Studi</t>
  </si>
  <si>
    <t>Rosita Yanuarti, S.Kom., M.Cs</t>
  </si>
  <si>
    <t>1986012911509632</t>
  </si>
  <si>
    <t>Teknik Informatika</t>
  </si>
  <si>
    <t>Penata Muda Tingkat I , III/b</t>
  </si>
  <si>
    <t>Ari Eko Wardoyo, S.T., M.Kom.</t>
  </si>
  <si>
    <t>197502142005011001</t>
  </si>
  <si>
    <t>Penata Muda Tk I/III/b</t>
  </si>
  <si>
    <t>Ketua Program Studi</t>
  </si>
  <si>
    <t>FAKULTAS TEKNIK</t>
  </si>
  <si>
    <t>Prof. Dr.Ir. Nanang Saiful Rizal, S.T., M.T., IPM.</t>
  </si>
  <si>
    <t>1978040510308366</t>
  </si>
  <si>
    <t>Dekan Fakultas Teknik</t>
  </si>
  <si>
    <t>Pembina/IVA</t>
  </si>
  <si>
    <t>Sistem Temu Kembali Informasi</t>
  </si>
  <si>
    <t>Teori Bahasa dan Automata</t>
  </si>
  <si>
    <t>Kecerdasan Tiruan</t>
  </si>
  <si>
    <t>Komputasi Awan</t>
  </si>
  <si>
    <t>Big Data</t>
  </si>
  <si>
    <t>Clarence Daffa Rizqullah</t>
  </si>
  <si>
    <t>Calvin Bahtiar Ramadhani</t>
  </si>
  <si>
    <t>Alvian Ananta Bagaskara</t>
  </si>
  <si>
    <t>Rinaldi Nur Fahadaena</t>
  </si>
  <si>
    <t>Arrohim Dwi Ksatria</t>
  </si>
  <si>
    <t xml:space="preserve">Penerapan analytic hierarchy process (AHP) pada sistem pendukung keputusan penerima bantuan pangan non tunai (BPNT) </t>
  </si>
  <si>
    <t xml:space="preserve">ANALISIS TINGKAT KESIAPAN MAHASISWA TERHADAP KESIAPAN PEMBELAJARAN ONLINE </t>
  </si>
  <si>
    <t>MARKET BASKET ANALYSIS DENGAN ALGORITMA APRIORI UNTUK STRATEGI PENJUALAN PADA COFFEE SHOP</t>
  </si>
  <si>
    <t>Flashcard Digital Untuk Pengenalan Kosa Kata Bahasa Inggris Untuk Anak Usia Dini</t>
  </si>
  <si>
    <t>Flashcard Digital Berbasis Android Kosa Kata Bahasa Inggris Bagi Anak Usia Dini</t>
  </si>
  <si>
    <t>JASIE</t>
  </si>
  <si>
    <t>FLASHCARD DIGITAL BERBASIS ANDROID SEBAGAI MEDIA PEMBELAJARAN PENGENALAN KOSA KATA BAHASA INGGRIS BAGI ANAK USIA DINI</t>
  </si>
  <si>
    <t>Yudisium Semester Genap 2022/2023</t>
  </si>
  <si>
    <t>Bagas Andihartono / DINAS PEMBERDAYAAN PEREMPUAN,PERLINDUNGAN ANAK DAN KELUARGA BERENCANA KABUPATEN JEMBER</t>
  </si>
  <si>
    <t>Muhammad Yuwan Safri Nacikit / DINAS PEMBERDAYAAN PEREMPUAN,PERLINDUNGAN ANAK DAN KELUARGA BERENCANA KABUPATEN JEMBER</t>
  </si>
  <si>
    <t>Aldho Chahya Vinada D / Kantor Kementrian Agama Kabupaten Jember</t>
  </si>
  <si>
    <t>Restu Aulia Rahma / Kantor Kementrian Agama Kabupaten Jember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</si>
</sst>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-* #,##0_-;\-* #,##0_-;_-* &quot;-&quot;_-;_-@_-"/>
    <numFmt numFmtId="165" formatCode="0\ &quot;kum&quot;"/>
    <numFmt numFmtId="166" formatCode="0\ &quot;sks&quot;"/>
    <numFmt numFmtId="167" formatCode="0.00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name val="Arial Narrow"/>
      <family val="2"/>
    </font>
    <font>
      <sz val="10"/>
      <name val="Arial"/>
      <family val="2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b/>
      <u/>
      <sz val="11"/>
      <name val="Times New Roman"/>
      <family val="1"/>
    </font>
    <font>
      <sz val="11"/>
      <color theme="0"/>
      <name val="Calibri"/>
      <family val="2"/>
    </font>
    <font>
      <sz val="9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scheme val="minor"/>
    </font>
    <font>
      <sz val="11"/>
      <color theme="1"/>
      <name val="Times New Roman"/>
    </font>
  </fonts>
  <fills count="2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7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dotted">
        <color theme="2" tint="-0.499984740745262"/>
      </bottom>
      <diagonal/>
    </border>
  </borders>
  <cellStyleXfs count="8">
    <xf numFmtId="0" fontId="0" fillId="0" borderId="0"/>
    <xf numFmtId="0" fontId="1" fillId="0" borderId="0"/>
    <xf numFmtId="0" fontId="12" fillId="0" borderId="0"/>
    <xf numFmtId="164" fontId="6" fillId="0" borderId="0" applyFont="0" applyFill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</cellStyleXfs>
  <cellXfs count="5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0" xfId="1" applyAlignment="1">
      <alignment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3" fillId="0" borderId="1" xfId="1" applyFont="1" applyBorder="1" applyAlignment="1">
      <alignment horizontal="right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vertical="center"/>
    </xf>
    <xf numFmtId="9" fontId="3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2" fillId="0" borderId="9" xfId="1" applyFont="1" applyBorder="1" applyAlignment="1">
      <alignment vertical="center"/>
    </xf>
    <xf numFmtId="0" fontId="1" fillId="0" borderId="9" xfId="1" applyBorder="1" applyAlignment="1">
      <alignment vertical="center"/>
    </xf>
    <xf numFmtId="0" fontId="2" fillId="0" borderId="9" xfId="1" applyFont="1" applyBorder="1" applyAlignment="1">
      <alignment vertical="center" wrapText="1"/>
    </xf>
    <xf numFmtId="0" fontId="1" fillId="0" borderId="19" xfId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vertical="center"/>
    </xf>
    <xf numFmtId="0" fontId="7" fillId="0" borderId="6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7" xfId="1" applyFont="1" applyBorder="1" applyAlignment="1">
      <alignment vertical="center"/>
    </xf>
    <xf numFmtId="0" fontId="1" fillId="0" borderId="9" xfId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1" fillId="0" borderId="18" xfId="1" applyBorder="1" applyAlignment="1">
      <alignment horizontal="center" vertical="center"/>
    </xf>
    <xf numFmtId="0" fontId="7" fillId="0" borderId="4" xfId="1" applyFont="1" applyBorder="1" applyAlignment="1">
      <alignment vertical="center"/>
    </xf>
    <xf numFmtId="0" fontId="7" fillId="0" borderId="7" xfId="1" applyFont="1" applyBorder="1" applyAlignment="1">
      <alignment horizontal="center" vertical="center"/>
    </xf>
    <xf numFmtId="0" fontId="0" fillId="0" borderId="19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0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9" xfId="1" applyBorder="1" applyAlignment="1">
      <alignment horizontal="left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8" xfId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25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1" fillId="0" borderId="0" xfId="0" quotePrefix="1" applyFont="1" applyAlignment="1">
      <alignment vertical="top" wrapText="1"/>
    </xf>
    <xf numFmtId="0" fontId="9" fillId="0" borderId="29" xfId="0" applyFont="1" applyBorder="1" applyAlignment="1">
      <alignment vertical="center" wrapText="1"/>
    </xf>
    <xf numFmtId="0" fontId="9" fillId="3" borderId="29" xfId="0" applyNumberFormat="1" applyFont="1" applyFill="1" applyBorder="1" applyAlignment="1">
      <alignment vertical="center"/>
    </xf>
    <xf numFmtId="4" fontId="9" fillId="0" borderId="29" xfId="0" applyNumberFormat="1" applyFont="1" applyBorder="1" applyAlignment="1">
      <alignment horizontal="center" vertical="center"/>
    </xf>
    <xf numFmtId="0" fontId="9" fillId="0" borderId="29" xfId="0" applyNumberFormat="1" applyFont="1" applyBorder="1" applyAlignment="1">
      <alignment horizontal="center" vertical="center"/>
    </xf>
    <xf numFmtId="0" fontId="9" fillId="0" borderId="30" xfId="0" applyNumberFormat="1" applyFont="1" applyBorder="1" applyAlignment="1">
      <alignment horizontal="center" vertical="center"/>
    </xf>
    <xf numFmtId="0" fontId="10" fillId="10" borderId="32" xfId="0" applyFont="1" applyFill="1" applyBorder="1" applyAlignment="1">
      <alignment vertical="center"/>
    </xf>
    <xf numFmtId="0" fontId="10" fillId="10" borderId="33" xfId="0" applyFont="1" applyFill="1" applyBorder="1" applyAlignment="1">
      <alignment vertical="center"/>
    </xf>
    <xf numFmtId="0" fontId="10" fillId="11" borderId="33" xfId="0" applyFont="1" applyFill="1" applyBorder="1" applyAlignment="1">
      <alignment vertical="center"/>
    </xf>
    <xf numFmtId="0" fontId="10" fillId="10" borderId="34" xfId="0" applyFont="1" applyFill="1" applyBorder="1" applyAlignment="1">
      <alignment vertical="center"/>
    </xf>
    <xf numFmtId="0" fontId="9" fillId="0" borderId="31" xfId="0" applyFont="1" applyBorder="1" applyAlignment="1">
      <alignment horizontal="center" vertical="center"/>
    </xf>
    <xf numFmtId="4" fontId="9" fillId="0" borderId="30" xfId="0" applyNumberFormat="1" applyFont="1" applyBorder="1" applyAlignment="1">
      <alignment horizontal="center" vertical="center"/>
    </xf>
    <xf numFmtId="0" fontId="9" fillId="0" borderId="31" xfId="0" applyNumberFormat="1" applyFont="1" applyBorder="1" applyAlignment="1">
      <alignment horizontal="left" vertical="center" wrapText="1"/>
    </xf>
    <xf numFmtId="0" fontId="9" fillId="0" borderId="31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9" fillId="0" borderId="37" xfId="0" applyFont="1" applyBorder="1" applyAlignment="1">
      <alignment horizontal="center" vertical="center"/>
    </xf>
    <xf numFmtId="4" fontId="9" fillId="0" borderId="38" xfId="0" applyNumberFormat="1" applyFont="1" applyBorder="1" applyAlignment="1">
      <alignment horizontal="center" vertical="center"/>
    </xf>
    <xf numFmtId="0" fontId="9" fillId="0" borderId="26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0" fontId="8" fillId="0" borderId="42" xfId="2" applyFont="1" applyBorder="1" applyAlignment="1">
      <alignment horizontal="center" vertical="center" wrapText="1"/>
    </xf>
    <xf numFmtId="43" fontId="8" fillId="0" borderId="41" xfId="2" applyNumberFormat="1" applyFont="1" applyBorder="1" applyAlignment="1">
      <alignment horizontal="center" vertical="center" wrapText="1"/>
    </xf>
    <xf numFmtId="0" fontId="8" fillId="0" borderId="47" xfId="2" applyFont="1" applyBorder="1" applyAlignment="1">
      <alignment horizontal="center" vertical="center" wrapText="1"/>
    </xf>
    <xf numFmtId="9" fontId="8" fillId="0" borderId="48" xfId="2" applyNumberFormat="1" applyFont="1" applyBorder="1" applyAlignment="1">
      <alignment horizontal="center" vertical="center" wrapText="1"/>
    </xf>
    <xf numFmtId="2" fontId="13" fillId="0" borderId="49" xfId="2" applyNumberFormat="1" applyFont="1" applyBorder="1" applyAlignment="1">
      <alignment horizontal="center" vertical="center" wrapText="1"/>
    </xf>
    <xf numFmtId="0" fontId="13" fillId="12" borderId="52" xfId="2" applyFont="1" applyFill="1" applyBorder="1" applyAlignment="1">
      <alignment horizontal="center" vertical="center" wrapText="1"/>
    </xf>
    <xf numFmtId="2" fontId="13" fillId="0" borderId="52" xfId="2" applyNumberFormat="1" applyFont="1" applyBorder="1" applyAlignment="1">
      <alignment horizontal="center" vertical="center" wrapText="1"/>
    </xf>
    <xf numFmtId="2" fontId="8" fillId="0" borderId="52" xfId="2" applyNumberFormat="1" applyFont="1" applyBorder="1" applyAlignment="1">
      <alignment horizontal="center" vertical="center" wrapText="1"/>
    </xf>
    <xf numFmtId="0" fontId="8" fillId="0" borderId="52" xfId="2" applyFont="1" applyBorder="1" applyAlignment="1">
      <alignment horizontal="center" vertical="center" wrapText="1"/>
    </xf>
    <xf numFmtId="9" fontId="8" fillId="0" borderId="49" xfId="2" applyNumberFormat="1" applyFont="1" applyBorder="1" applyAlignment="1">
      <alignment horizontal="center" vertical="center" wrapText="1"/>
    </xf>
    <xf numFmtId="2" fontId="8" fillId="0" borderId="60" xfId="2" applyNumberFormat="1" applyFont="1" applyBorder="1" applyAlignment="1">
      <alignment horizontal="center" vertical="center" wrapText="1"/>
    </xf>
    <xf numFmtId="167" fontId="8" fillId="0" borderId="62" xfId="2" applyNumberFormat="1" applyFont="1" applyBorder="1" applyAlignment="1">
      <alignment horizontal="center" vertical="center"/>
    </xf>
    <xf numFmtId="167" fontId="8" fillId="0" borderId="0" xfId="2" applyNumberFormat="1" applyFont="1" applyBorder="1" applyAlignment="1">
      <alignment vertical="center"/>
    </xf>
    <xf numFmtId="0" fontId="13" fillId="0" borderId="0" xfId="2" applyFont="1" applyBorder="1" applyAlignment="1">
      <alignment vertical="center"/>
    </xf>
    <xf numFmtId="0" fontId="8" fillId="0" borderId="0" xfId="2" applyFont="1" applyBorder="1" applyAlignment="1">
      <alignment horizontal="centerContinuous" vertical="center"/>
    </xf>
    <xf numFmtId="0" fontId="15" fillId="0" borderId="0" xfId="2" applyFont="1" applyBorder="1" applyAlignment="1">
      <alignment horizontal="centerContinuous" wrapText="1"/>
    </xf>
    <xf numFmtId="0" fontId="13" fillId="0" borderId="0" xfId="2" applyFont="1" applyBorder="1" applyAlignment="1">
      <alignment horizontal="centerContinuous" vertical="top" wrapText="1"/>
    </xf>
    <xf numFmtId="0" fontId="15" fillId="0" borderId="0" xfId="2" applyFont="1" applyBorder="1" applyAlignment="1">
      <alignment horizontal="centerContinuous"/>
    </xf>
    <xf numFmtId="0" fontId="13" fillId="0" borderId="0" xfId="2" applyFont="1" applyBorder="1" applyAlignment="1">
      <alignment horizontal="centerContinuous" vertical="top"/>
    </xf>
    <xf numFmtId="0" fontId="13" fillId="0" borderId="0" xfId="2" applyFont="1" applyAlignment="1">
      <alignment vertical="center"/>
    </xf>
    <xf numFmtId="0" fontId="8" fillId="0" borderId="50" xfId="2" applyFont="1" applyBorder="1" applyAlignment="1">
      <alignment vertical="center" wrapText="1"/>
    </xf>
    <xf numFmtId="0" fontId="13" fillId="0" borderId="51" xfId="2" applyFont="1" applyBorder="1" applyAlignment="1">
      <alignment vertical="center"/>
    </xf>
    <xf numFmtId="0" fontId="13" fillId="0" borderId="50" xfId="2" applyFont="1" applyBorder="1" applyAlignment="1">
      <alignment vertical="center"/>
    </xf>
    <xf numFmtId="0" fontId="8" fillId="0" borderId="63" xfId="2" applyFont="1" applyBorder="1" applyAlignment="1">
      <alignment vertical="center" wrapText="1"/>
    </xf>
    <xf numFmtId="0" fontId="8" fillId="0" borderId="0" xfId="2" applyFont="1" applyBorder="1" applyAlignment="1">
      <alignment vertical="center" wrapText="1"/>
    </xf>
    <xf numFmtId="0" fontId="8" fillId="0" borderId="60" xfId="2" applyFont="1" applyBorder="1" applyAlignment="1">
      <alignment vertical="center" wrapText="1"/>
    </xf>
    <xf numFmtId="0" fontId="13" fillId="0" borderId="50" xfId="2" applyFont="1" applyBorder="1" applyAlignment="1">
      <alignment vertical="center" wrapText="1"/>
    </xf>
    <xf numFmtId="0" fontId="13" fillId="0" borderId="55" xfId="2" applyFont="1" applyBorder="1" applyAlignment="1">
      <alignment vertical="center" wrapText="1"/>
    </xf>
    <xf numFmtId="0" fontId="13" fillId="0" borderId="56" xfId="2" applyFont="1" applyBorder="1" applyAlignment="1">
      <alignment vertical="center"/>
    </xf>
    <xf numFmtId="0" fontId="13" fillId="0" borderId="57" xfId="2" applyFont="1" applyBorder="1" applyAlignment="1">
      <alignment vertical="center"/>
    </xf>
    <xf numFmtId="0" fontId="13" fillId="0" borderId="0" xfId="2" applyFont="1" applyBorder="1" applyAlignment="1">
      <alignment vertical="center" wrapText="1"/>
    </xf>
    <xf numFmtId="0" fontId="13" fillId="0" borderId="43" xfId="2" applyFont="1" applyBorder="1" applyAlignment="1">
      <alignment vertical="center"/>
    </xf>
    <xf numFmtId="0" fontId="13" fillId="0" borderId="44" xfId="2" applyFont="1" applyBorder="1" applyAlignment="1">
      <alignment vertical="center"/>
    </xf>
    <xf numFmtId="0" fontId="13" fillId="0" borderId="45" xfId="2" applyFont="1" applyBorder="1" applyAlignment="1">
      <alignment vertical="center"/>
    </xf>
    <xf numFmtId="0" fontId="8" fillId="0" borderId="50" xfId="2" applyFont="1" applyBorder="1" applyAlignment="1">
      <alignment horizontal="left" vertical="center"/>
    </xf>
    <xf numFmtId="0" fontId="8" fillId="0" borderId="0" xfId="2" applyFont="1" applyBorder="1" applyAlignment="1">
      <alignment horizontal="left" vertical="center"/>
    </xf>
    <xf numFmtId="0" fontId="8" fillId="0" borderId="0" xfId="2" applyFont="1" applyAlignment="1">
      <alignment horizontal="centerContinuous" vertical="center"/>
    </xf>
    <xf numFmtId="0" fontId="13" fillId="0" borderId="55" xfId="2" applyFont="1" applyBorder="1" applyAlignment="1">
      <alignment vertical="center"/>
    </xf>
    <xf numFmtId="0" fontId="13" fillId="0" borderId="51" xfId="2" applyFont="1" applyBorder="1" applyAlignment="1">
      <alignment horizontal="centerContinuous" vertical="center"/>
    </xf>
    <xf numFmtId="0" fontId="15" fillId="0" borderId="0" xfId="2" applyFont="1" applyBorder="1" applyAlignment="1">
      <alignment horizontal="centerContinuous" vertical="center" wrapText="1"/>
    </xf>
    <xf numFmtId="0" fontId="15" fillId="0" borderId="51" xfId="2" applyFont="1" applyBorder="1" applyAlignment="1">
      <alignment horizontal="centerContinuous" vertical="center" wrapText="1"/>
    </xf>
    <xf numFmtId="0" fontId="13" fillId="0" borderId="0" xfId="2" applyFont="1" applyBorder="1" applyAlignment="1">
      <alignment horizontal="centerContinuous" vertical="center" wrapText="1"/>
    </xf>
    <xf numFmtId="0" fontId="13" fillId="0" borderId="51" xfId="2" applyFont="1" applyBorder="1" applyAlignment="1">
      <alignment horizontal="centerContinuous" vertical="center" wrapText="1"/>
    </xf>
    <xf numFmtId="0" fontId="13" fillId="0" borderId="0" xfId="2" applyFont="1" applyBorder="1" applyAlignment="1">
      <alignment horizontal="centerContinuous" vertical="center"/>
    </xf>
    <xf numFmtId="49" fontId="13" fillId="0" borderId="0" xfId="2" applyNumberFormat="1" applyFont="1" applyBorder="1" applyAlignment="1">
      <alignment horizontal="centerContinuous" vertical="center" wrapText="1"/>
    </xf>
    <xf numFmtId="49" fontId="13" fillId="0" borderId="0" xfId="2" applyNumberFormat="1" applyFont="1" applyBorder="1" applyAlignment="1">
      <alignment vertical="center" wrapText="1"/>
    </xf>
    <xf numFmtId="0" fontId="13" fillId="0" borderId="51" xfId="2" applyFont="1" applyBorder="1" applyAlignment="1">
      <alignment vertical="center" wrapText="1"/>
    </xf>
    <xf numFmtId="0" fontId="15" fillId="0" borderId="0" xfId="2" applyFont="1" applyBorder="1" applyAlignment="1">
      <alignment horizontal="centerContinuous" vertical="center"/>
    </xf>
    <xf numFmtId="0" fontId="15" fillId="0" borderId="0" xfId="2" applyFont="1" applyBorder="1" applyAlignment="1">
      <alignment vertical="center"/>
    </xf>
    <xf numFmtId="0" fontId="8" fillId="0" borderId="0" xfId="2" applyFont="1" applyBorder="1" applyAlignment="1">
      <alignment horizontal="centerContinuous" vertical="top"/>
    </xf>
    <xf numFmtId="0" fontId="8" fillId="0" borderId="0" xfId="2" applyFont="1" applyBorder="1" applyAlignment="1">
      <alignment horizontal="centerContinuous"/>
    </xf>
    <xf numFmtId="0" fontId="13" fillId="0" borderId="0" xfId="2" applyFont="1" applyAlignment="1">
      <alignment horizontal="left" vertical="center" indent="1"/>
    </xf>
    <xf numFmtId="0" fontId="9" fillId="0" borderId="0" xfId="0" quotePrefix="1" applyFont="1" applyAlignment="1">
      <alignment vertical="center"/>
    </xf>
    <xf numFmtId="0" fontId="8" fillId="0" borderId="0" xfId="0" applyFont="1" applyAlignment="1">
      <alignment horizontal="centerContinuous" vertical="center"/>
    </xf>
    <xf numFmtId="0" fontId="9" fillId="0" borderId="0" xfId="0" applyFont="1" applyAlignment="1">
      <alignment horizontal="centerContinuous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indent="12"/>
    </xf>
    <xf numFmtId="0" fontId="9" fillId="0" borderId="2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" fontId="8" fillId="0" borderId="41" xfId="2" applyNumberFormat="1" applyFont="1" applyBorder="1" applyAlignment="1">
      <alignment horizontal="center" vertical="center"/>
    </xf>
    <xf numFmtId="0" fontId="13" fillId="0" borderId="49" xfId="2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center" vertical="center"/>
    </xf>
    <xf numFmtId="0" fontId="14" fillId="14" borderId="1" xfId="5" applyBorder="1" applyAlignment="1">
      <alignment horizontal="center" vertical="center"/>
    </xf>
    <xf numFmtId="0" fontId="9" fillId="0" borderId="12" xfId="0" applyNumberFormat="1" applyFont="1" applyBorder="1" applyAlignment="1">
      <alignment horizontal="left" vertical="center" wrapText="1"/>
    </xf>
    <xf numFmtId="0" fontId="9" fillId="0" borderId="12" xfId="0" applyNumberFormat="1" applyFont="1" applyBorder="1" applyAlignment="1">
      <alignment horizontal="center" vertical="center"/>
    </xf>
    <xf numFmtId="0" fontId="9" fillId="3" borderId="12" xfId="0" applyNumberFormat="1" applyFont="1" applyFill="1" applyBorder="1" applyAlignment="1">
      <alignment vertical="center"/>
    </xf>
    <xf numFmtId="4" fontId="9" fillId="0" borderId="12" xfId="0" applyNumberFormat="1" applyFont="1" applyBorder="1" applyAlignment="1">
      <alignment horizontal="center" vertical="center"/>
    </xf>
    <xf numFmtId="4" fontId="9" fillId="0" borderId="26" xfId="0" applyNumberFormat="1" applyFont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0" fillId="0" borderId="28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14" fillId="16" borderId="2" xfId="6" applyFill="1" applyBorder="1" applyAlignment="1">
      <alignment horizontal="center" vertical="center"/>
    </xf>
    <xf numFmtId="0" fontId="14" fillId="16" borderId="2" xfId="6" applyNumberFormat="1" applyFill="1" applyBorder="1" applyAlignment="1">
      <alignment horizontal="center" vertical="center"/>
    </xf>
    <xf numFmtId="0" fontId="14" fillId="16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16" borderId="0" xfId="0" applyFill="1" applyAlignment="1">
      <alignment horizontal="centerContinuous" vertical="center"/>
    </xf>
    <xf numFmtId="0" fontId="14" fillId="16" borderId="0" xfId="0" applyFont="1" applyFill="1" applyAlignment="1">
      <alignment horizontal="centerContinuous" vertical="center"/>
    </xf>
    <xf numFmtId="0" fontId="14" fillId="16" borderId="2" xfId="0" applyFont="1" applyFill="1" applyBorder="1" applyAlignment="1">
      <alignment vertical="center"/>
    </xf>
    <xf numFmtId="0" fontId="14" fillId="16" borderId="3" xfId="0" applyFont="1" applyFill="1" applyBorder="1" applyAlignment="1">
      <alignment vertical="center"/>
    </xf>
    <xf numFmtId="0" fontId="14" fillId="16" borderId="4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14" fillId="16" borderId="1" xfId="0" applyNumberFormat="1" applyFont="1" applyFill="1" applyBorder="1" applyAlignment="1">
      <alignment horizontal="center" vertical="center"/>
    </xf>
    <xf numFmtId="0" fontId="14" fillId="16" borderId="27" xfId="0" applyFont="1" applyFill="1" applyBorder="1" applyAlignment="1">
      <alignment horizontal="center" vertical="center"/>
    </xf>
    <xf numFmtId="0" fontId="14" fillId="16" borderId="12" xfId="0" applyFont="1" applyFill="1" applyBorder="1" applyAlignment="1">
      <alignment horizontal="center" vertical="center"/>
    </xf>
    <xf numFmtId="0" fontId="14" fillId="16" borderId="26" xfId="0" applyFont="1" applyFill="1" applyBorder="1" applyAlignment="1">
      <alignment horizontal="center" vertical="center"/>
    </xf>
    <xf numFmtId="0" fontId="14" fillId="16" borderId="1" xfId="0" applyFont="1" applyFill="1" applyBorder="1" applyAlignment="1">
      <alignment vertical="center"/>
    </xf>
    <xf numFmtId="0" fontId="16" fillId="16" borderId="1" xfId="0" applyFont="1" applyFill="1" applyBorder="1" applyAlignment="1">
      <alignment horizontal="center" vertical="center"/>
    </xf>
    <xf numFmtId="0" fontId="14" fillId="14" borderId="1" xfId="5" applyBorder="1" applyAlignment="1">
      <alignment horizontal="center" vertical="center"/>
    </xf>
    <xf numFmtId="0" fontId="14" fillId="1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/>
    </xf>
    <xf numFmtId="0" fontId="0" fillId="16" borderId="19" xfId="0" applyFill="1" applyBorder="1" applyAlignment="1">
      <alignment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14" fillId="16" borderId="0" xfId="0" applyFont="1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4" fillId="16" borderId="1" xfId="0" applyFont="1" applyFill="1" applyBorder="1" applyAlignment="1">
      <alignment horizontal="center" vertical="center"/>
    </xf>
    <xf numFmtId="0" fontId="14" fillId="16" borderId="2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left" vertical="center"/>
    </xf>
    <xf numFmtId="0" fontId="0" fillId="16" borderId="1" xfId="0" applyFill="1" applyBorder="1" applyAlignment="1">
      <alignment vertical="center"/>
    </xf>
    <xf numFmtId="0" fontId="14" fillId="16" borderId="7" xfId="0" applyFont="1" applyFill="1" applyBorder="1" applyAlignment="1">
      <alignment horizontal="center" vertical="center"/>
    </xf>
    <xf numFmtId="0" fontId="14" fillId="16" borderId="1" xfId="0" applyFont="1" applyFill="1" applyBorder="1" applyAlignment="1">
      <alignment horizontal="center" vertical="center"/>
    </xf>
    <xf numFmtId="0" fontId="14" fillId="16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top"/>
    </xf>
    <xf numFmtId="0" fontId="14" fillId="16" borderId="26" xfId="0" applyFont="1" applyFill="1" applyBorder="1" applyAlignment="1">
      <alignment vertical="center"/>
    </xf>
    <xf numFmtId="0" fontId="14" fillId="16" borderId="25" xfId="0" applyFont="1" applyFill="1" applyBorder="1" applyAlignment="1">
      <alignment horizontal="center" vertical="center"/>
    </xf>
    <xf numFmtId="0" fontId="14" fillId="16" borderId="6" xfId="0" applyFont="1" applyFill="1" applyBorder="1" applyAlignment="1">
      <alignment vertical="center"/>
    </xf>
    <xf numFmtId="0" fontId="14" fillId="16" borderId="28" xfId="0" applyFont="1" applyFill="1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4" fillId="1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16" borderId="0" xfId="0" applyFont="1" applyFill="1" applyAlignment="1">
      <alignment horizontal="left" vertical="top"/>
    </xf>
    <xf numFmtId="0" fontId="0" fillId="16" borderId="2" xfId="0" applyFill="1" applyBorder="1" applyAlignment="1">
      <alignment vertical="top"/>
    </xf>
    <xf numFmtId="0" fontId="14" fillId="16" borderId="2" xfId="0" applyFont="1" applyFill="1" applyBorder="1" applyAlignment="1">
      <alignment vertical="top"/>
    </xf>
    <xf numFmtId="0" fontId="14" fillId="16" borderId="2" xfId="0" applyFont="1" applyFill="1" applyBorder="1" applyAlignment="1">
      <alignment horizontal="center" vertical="top"/>
    </xf>
    <xf numFmtId="0" fontId="14" fillId="16" borderId="2" xfId="0" applyNumberFormat="1" applyFont="1" applyFill="1" applyBorder="1" applyAlignment="1">
      <alignment horizontal="center" vertical="top"/>
    </xf>
    <xf numFmtId="0" fontId="0" fillId="16" borderId="19" xfId="0" applyFill="1" applyBorder="1" applyAlignment="1">
      <alignment vertical="top"/>
    </xf>
    <xf numFmtId="0" fontId="0" fillId="16" borderId="2" xfId="0" applyFill="1" applyBorder="1" applyAlignment="1">
      <alignment vertical="top" wrapText="1"/>
    </xf>
    <xf numFmtId="0" fontId="0" fillId="16" borderId="1" xfId="0" applyFill="1" applyBorder="1" applyAlignment="1">
      <alignment horizontal="center" vertical="top"/>
    </xf>
    <xf numFmtId="0" fontId="0" fillId="16" borderId="1" xfId="0" applyFill="1" applyBorder="1" applyAlignment="1">
      <alignment vertical="top"/>
    </xf>
    <xf numFmtId="0" fontId="0" fillId="5" borderId="23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4" fillId="16" borderId="1" xfId="0" applyFont="1" applyFill="1" applyBorder="1" applyAlignment="1">
      <alignment horizontal="right" vertical="center"/>
    </xf>
    <xf numFmtId="0" fontId="14" fillId="16" borderId="0" xfId="0" applyFont="1" applyFill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4" fillId="16" borderId="19" xfId="0" applyFont="1" applyFill="1" applyBorder="1" applyAlignment="1">
      <alignment vertical="top"/>
    </xf>
    <xf numFmtId="0" fontId="14" fillId="16" borderId="2" xfId="0" applyFont="1" applyFill="1" applyBorder="1" applyAlignment="1">
      <alignment vertical="top" wrapText="1"/>
    </xf>
    <xf numFmtId="0" fontId="14" fillId="16" borderId="1" xfId="0" applyFont="1" applyFill="1" applyBorder="1" applyAlignment="1">
      <alignment horizontal="center" vertical="top"/>
    </xf>
    <xf numFmtId="0" fontId="14" fillId="16" borderId="1" xfId="0" applyFont="1" applyFill="1" applyBorder="1" applyAlignment="1">
      <alignment vertical="top"/>
    </xf>
    <xf numFmtId="0" fontId="0" fillId="0" borderId="25" xfId="0" applyBorder="1" applyAlignment="1">
      <alignment vertical="top"/>
    </xf>
    <xf numFmtId="0" fontId="5" fillId="4" borderId="2" xfId="0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9" xfId="1" applyFont="1" applyFill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14" fillId="16" borderId="25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0" fillId="0" borderId="4" xfId="0" applyFont="1" applyBorder="1" applyAlignment="1">
      <alignment horizontal="left" vertical="center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 justifyLastLine="1"/>
    </xf>
    <xf numFmtId="0" fontId="1" fillId="0" borderId="1" xfId="1" applyFill="1" applyBorder="1" applyAlignment="1">
      <alignment vertical="center"/>
    </xf>
    <xf numFmtId="0" fontId="1" fillId="0" borderId="25" xfId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1" fillId="0" borderId="1" xfId="1" applyFill="1" applyBorder="1" applyAlignment="1">
      <alignment vertical="center" wrapText="1"/>
    </xf>
    <xf numFmtId="0" fontId="1" fillId="0" borderId="9" xfId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11" xfId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9" xfId="1" applyFill="1" applyBorder="1" applyAlignment="1">
      <alignment vertical="center"/>
    </xf>
    <xf numFmtId="0" fontId="1" fillId="0" borderId="25" xfId="1" applyFill="1" applyBorder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0" fontId="9" fillId="17" borderId="29" xfId="0" applyFont="1" applyFill="1" applyBorder="1" applyAlignment="1">
      <alignment horizontal="center" vertical="center" wrapText="1"/>
    </xf>
    <xf numFmtId="0" fontId="13" fillId="17" borderId="52" xfId="2" applyFont="1" applyFill="1" applyBorder="1" applyAlignment="1">
      <alignment horizontal="center" vertical="center" wrapText="1"/>
    </xf>
    <xf numFmtId="0" fontId="13" fillId="17" borderId="52" xfId="2" quotePrefix="1" applyFont="1" applyFill="1" applyBorder="1" applyAlignment="1">
      <alignment horizontal="center" vertical="center" wrapText="1"/>
    </xf>
    <xf numFmtId="0" fontId="18" fillId="17" borderId="1" xfId="0" applyFont="1" applyFill="1" applyBorder="1" applyAlignment="1">
      <alignment vertical="center" wrapText="1"/>
    </xf>
    <xf numFmtId="0" fontId="18" fillId="0" borderId="1" xfId="0" applyNumberFormat="1" applyFont="1" applyBorder="1" applyAlignment="1">
      <alignment horizontal="center" vertical="center"/>
    </xf>
    <xf numFmtId="0" fontId="18" fillId="0" borderId="25" xfId="0" applyNumberFormat="1" applyFont="1" applyBorder="1" applyAlignment="1">
      <alignment horizontal="center" vertical="center"/>
    </xf>
    <xf numFmtId="0" fontId="18" fillId="0" borderId="26" xfId="0" applyNumberFormat="1" applyFont="1" applyBorder="1" applyAlignment="1">
      <alignment horizontal="left" vertical="center" wrapText="1"/>
    </xf>
    <xf numFmtId="0" fontId="18" fillId="0" borderId="26" xfId="0" applyNumberFormat="1" applyFont="1" applyBorder="1" applyAlignment="1">
      <alignment horizontal="left" vertical="center"/>
    </xf>
    <xf numFmtId="0" fontId="19" fillId="16" borderId="1" xfId="0" applyFont="1" applyFill="1" applyBorder="1" applyAlignment="1">
      <alignment horizontal="center" vertical="center"/>
    </xf>
    <xf numFmtId="0" fontId="19" fillId="16" borderId="1" xfId="0" applyFont="1" applyFill="1" applyBorder="1" applyAlignment="1">
      <alignment vertical="center" wrapText="1"/>
    </xf>
    <xf numFmtId="0" fontId="19" fillId="16" borderId="9" xfId="0" applyFont="1" applyFill="1" applyBorder="1" applyAlignment="1">
      <alignment horizontal="center" vertical="center"/>
    </xf>
    <xf numFmtId="0" fontId="19" fillId="16" borderId="8" xfId="0" applyFont="1" applyFill="1" applyBorder="1" applyAlignment="1">
      <alignment horizontal="left" vertical="center" wrapText="1"/>
    </xf>
    <xf numFmtId="0" fontId="19" fillId="16" borderId="1" xfId="0" applyFont="1" applyFill="1" applyBorder="1" applyAlignment="1">
      <alignment horizontal="center" vertical="center" wrapText="1"/>
    </xf>
    <xf numFmtId="0" fontId="19" fillId="16" borderId="25" xfId="0" applyFont="1" applyFill="1" applyBorder="1" applyAlignment="1">
      <alignment horizontal="center" vertical="center" wrapText="1"/>
    </xf>
    <xf numFmtId="0" fontId="19" fillId="16" borderId="26" xfId="0" applyFont="1" applyFill="1" applyBorder="1" applyAlignment="1">
      <alignment horizontal="left" vertical="center" wrapText="1"/>
    </xf>
    <xf numFmtId="0" fontId="19" fillId="16" borderId="31" xfId="0" applyFont="1" applyFill="1" applyBorder="1" applyAlignment="1">
      <alignment horizontal="center" vertical="center"/>
    </xf>
    <xf numFmtId="0" fontId="19" fillId="16" borderId="29" xfId="0" applyFont="1" applyFill="1" applyBorder="1" applyAlignment="1">
      <alignment vertical="center" wrapText="1"/>
    </xf>
    <xf numFmtId="0" fontId="19" fillId="16" borderId="29" xfId="0" applyFont="1" applyFill="1" applyBorder="1" applyAlignment="1">
      <alignment horizontal="center" vertical="center"/>
    </xf>
    <xf numFmtId="0" fontId="19" fillId="16" borderId="30" xfId="0" applyFont="1" applyFill="1" applyBorder="1" applyAlignment="1">
      <alignment horizontal="center" vertical="center"/>
    </xf>
    <xf numFmtId="0" fontId="19" fillId="16" borderId="31" xfId="0" applyFont="1" applyFill="1" applyBorder="1" applyAlignment="1">
      <alignment horizontal="left" vertical="center" wrapText="1"/>
    </xf>
    <xf numFmtId="0" fontId="19" fillId="16" borderId="29" xfId="0" applyFont="1" applyFill="1" applyBorder="1" applyAlignment="1">
      <alignment horizontal="center" vertical="center" wrapText="1"/>
    </xf>
    <xf numFmtId="0" fontId="19" fillId="16" borderId="30" xfId="0" applyFont="1" applyFill="1" applyBorder="1" applyAlignment="1">
      <alignment horizontal="center" vertical="center" wrapText="1"/>
    </xf>
    <xf numFmtId="0" fontId="19" fillId="16" borderId="31" xfId="0" applyFont="1" applyFill="1" applyBorder="1" applyAlignment="1">
      <alignment horizontal="center" vertical="center" wrapText="1"/>
    </xf>
    <xf numFmtId="0" fontId="19" fillId="16" borderId="29" xfId="0" applyNumberFormat="1" applyFont="1" applyFill="1" applyBorder="1" applyAlignment="1">
      <alignment vertical="center"/>
    </xf>
    <xf numFmtId="4" fontId="19" fillId="16" borderId="29" xfId="0" applyNumberFormat="1" applyFont="1" applyFill="1" applyBorder="1" applyAlignment="1">
      <alignment horizontal="center" vertical="center"/>
    </xf>
    <xf numFmtId="4" fontId="19" fillId="16" borderId="30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vertical="center"/>
    </xf>
    <xf numFmtId="0" fontId="14" fillId="16" borderId="1" xfId="0" applyFont="1" applyFill="1" applyBorder="1" applyAlignment="1">
      <alignment horizontal="center" vertical="center"/>
    </xf>
    <xf numFmtId="0" fontId="0" fillId="0" borderId="28" xfId="0" applyBorder="1" applyAlignment="1">
      <alignment vertical="top"/>
    </xf>
    <xf numFmtId="49" fontId="14" fillId="16" borderId="0" xfId="0" applyNumberFormat="1" applyFont="1" applyFill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0" fontId="3" fillId="0" borderId="1" xfId="4" applyFont="1" applyFill="1" applyBorder="1" applyAlignment="1">
      <alignment vertical="center"/>
    </xf>
    <xf numFmtId="0" fontId="3" fillId="0" borderId="72" xfId="4" applyFont="1" applyFill="1" applyBorder="1" applyAlignment="1">
      <alignment horizontal="justify" vertical="center"/>
    </xf>
    <xf numFmtId="0" fontId="3" fillId="0" borderId="73" xfId="4" applyFont="1" applyFill="1" applyBorder="1" applyAlignment="1">
      <alignment vertical="center"/>
    </xf>
    <xf numFmtId="0" fontId="3" fillId="0" borderId="64" xfId="4" applyFont="1" applyFill="1" applyBorder="1" applyAlignment="1">
      <alignment vertical="center"/>
    </xf>
    <xf numFmtId="0" fontId="3" fillId="0" borderId="67" xfId="4" applyFont="1" applyFill="1" applyBorder="1" applyAlignment="1">
      <alignment vertical="center"/>
    </xf>
    <xf numFmtId="0" fontId="3" fillId="0" borderId="67" xfId="4" applyFont="1" applyFill="1" applyBorder="1" applyAlignment="1">
      <alignment horizontal="left" vertical="center"/>
    </xf>
    <xf numFmtId="0" fontId="3" fillId="0" borderId="69" xfId="4" applyFont="1" applyFill="1" applyBorder="1" applyAlignment="1">
      <alignment vertical="center"/>
    </xf>
    <xf numFmtId="0" fontId="3" fillId="0" borderId="84" xfId="4" applyFont="1" applyFill="1" applyBorder="1" applyAlignment="1">
      <alignment vertical="center"/>
    </xf>
    <xf numFmtId="0" fontId="20" fillId="19" borderId="66" xfId="4" applyFont="1" applyFill="1" applyBorder="1" applyAlignment="1">
      <alignment vertical="center"/>
    </xf>
    <xf numFmtId="0" fontId="20" fillId="19" borderId="68" xfId="4" quotePrefix="1" applyFont="1" applyFill="1" applyBorder="1" applyAlignment="1">
      <alignment vertical="center"/>
    </xf>
    <xf numFmtId="0" fontId="20" fillId="19" borderId="68" xfId="4" applyFont="1" applyFill="1" applyBorder="1" applyAlignment="1">
      <alignment vertical="center"/>
    </xf>
    <xf numFmtId="0" fontId="20" fillId="19" borderId="71" xfId="4" applyFont="1" applyFill="1" applyBorder="1" applyAlignment="1">
      <alignment vertical="center"/>
    </xf>
    <xf numFmtId="0" fontId="14" fillId="0" borderId="0" xfId="4" applyFont="1" applyFill="1" applyBorder="1" applyAlignment="1">
      <alignment horizontal="left" vertical="center"/>
    </xf>
    <xf numFmtId="0" fontId="3" fillId="0" borderId="0" xfId="1" applyFont="1" applyFill="1" applyAlignment="1">
      <alignment vertical="center"/>
    </xf>
    <xf numFmtId="0" fontId="6" fillId="0" borderId="64" xfId="1" applyFont="1" applyFill="1" applyBorder="1" applyAlignment="1">
      <alignment vertical="center"/>
    </xf>
    <xf numFmtId="0" fontId="20" fillId="7" borderId="66" xfId="1" applyFont="1" applyFill="1" applyBorder="1" applyAlignment="1">
      <alignment vertical="center"/>
    </xf>
    <xf numFmtId="0" fontId="6" fillId="0" borderId="67" xfId="1" applyFont="1" applyFill="1" applyBorder="1" applyAlignment="1">
      <alignment vertical="center"/>
    </xf>
    <xf numFmtId="0" fontId="20" fillId="7" borderId="68" xfId="1" quotePrefix="1" applyFont="1" applyFill="1" applyBorder="1" applyAlignment="1">
      <alignment vertical="center"/>
    </xf>
    <xf numFmtId="0" fontId="20" fillId="7" borderId="68" xfId="1" applyFont="1" applyFill="1" applyBorder="1" applyAlignment="1">
      <alignment vertical="center"/>
    </xf>
    <xf numFmtId="0" fontId="6" fillId="0" borderId="67" xfId="1" applyFont="1" applyFill="1" applyBorder="1" applyAlignment="1">
      <alignment horizontal="left" vertical="center"/>
    </xf>
    <xf numFmtId="0" fontId="6" fillId="0" borderId="69" xfId="1" applyFont="1" applyFill="1" applyBorder="1" applyAlignment="1">
      <alignment vertical="center"/>
    </xf>
    <xf numFmtId="0" fontId="20" fillId="7" borderId="71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20" fillId="0" borderId="0" xfId="1" applyFont="1" applyFill="1" applyBorder="1" applyAlignment="1">
      <alignment horizontal="left" vertical="center"/>
    </xf>
    <xf numFmtId="0" fontId="3" fillId="20" borderId="0" xfId="1" applyFont="1" applyFill="1" applyAlignment="1">
      <alignment vertical="center"/>
    </xf>
    <xf numFmtId="0" fontId="4" fillId="20" borderId="0" xfId="1" applyFont="1" applyFill="1" applyBorder="1" applyAlignment="1">
      <alignment horizontal="left" vertical="center"/>
    </xf>
    <xf numFmtId="0" fontId="3" fillId="20" borderId="0" xfId="1" applyFont="1" applyFill="1" applyBorder="1" applyAlignment="1">
      <alignment vertical="center"/>
    </xf>
    <xf numFmtId="164" fontId="21" fillId="0" borderId="0" xfId="3" applyFont="1" applyFill="1" applyAlignment="1">
      <alignment vertical="center"/>
    </xf>
    <xf numFmtId="0" fontId="0" fillId="2" borderId="0" xfId="0" applyFill="1" applyAlignment="1">
      <alignment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3" borderId="86" xfId="0" applyFill="1" applyBorder="1" applyAlignment="1">
      <alignment horizontal="center" vertical="center"/>
    </xf>
    <xf numFmtId="0" fontId="0" fillId="16" borderId="0" xfId="0" applyFill="1" applyAlignment="1">
      <alignment vertical="center"/>
    </xf>
    <xf numFmtId="2" fontId="0" fillId="16" borderId="0" xfId="0" applyNumberFormat="1" applyFill="1" applyAlignment="1">
      <alignment horizontal="center" vertical="center"/>
    </xf>
    <xf numFmtId="1" fontId="14" fillId="16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14" fillId="16" borderId="1" xfId="0" applyNumberFormat="1" applyFont="1" applyFill="1" applyBorder="1" applyAlignment="1">
      <alignment horizontal="center" vertical="center"/>
    </xf>
    <xf numFmtId="0" fontId="14" fillId="16" borderId="0" xfId="0" applyNumberFormat="1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2" fontId="5" fillId="0" borderId="0" xfId="7" applyNumberFormat="1" applyFont="1" applyFill="1" applyBorder="1" applyAlignment="1">
      <alignment horizontal="center" vertical="center"/>
    </xf>
    <xf numFmtId="0" fontId="0" fillId="7" borderId="87" xfId="0" applyFill="1" applyBorder="1" applyAlignment="1">
      <alignment vertical="center"/>
    </xf>
    <xf numFmtId="0" fontId="0" fillId="20" borderId="0" xfId="0" applyFill="1" applyAlignment="1">
      <alignment vertical="center"/>
    </xf>
    <xf numFmtId="164" fontId="4" fillId="0" borderId="0" xfId="3" applyFont="1" applyFill="1" applyAlignment="1">
      <alignment vertical="center"/>
    </xf>
    <xf numFmtId="0" fontId="0" fillId="16" borderId="0" xfId="0" applyFill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67" xfId="1" applyFont="1" applyFill="1" applyBorder="1" applyAlignment="1">
      <alignment vertical="center"/>
    </xf>
    <xf numFmtId="15" fontId="20" fillId="5" borderId="74" xfId="4" quotePrefix="1" applyNumberFormat="1" applyFont="1" applyFill="1" applyBorder="1" applyAlignment="1">
      <alignment vertical="center"/>
    </xf>
    <xf numFmtId="15" fontId="20" fillId="5" borderId="82" xfId="4" quotePrefix="1" applyNumberFormat="1" applyFont="1" applyFill="1" applyBorder="1" applyAlignment="1">
      <alignment vertical="center"/>
    </xf>
    <xf numFmtId="0" fontId="20" fillId="5" borderId="82" xfId="4" applyNumberFormat="1" applyFont="1" applyFill="1" applyBorder="1" applyAlignment="1">
      <alignment vertical="center"/>
    </xf>
    <xf numFmtId="0" fontId="20" fillId="5" borderId="82" xfId="4" quotePrefix="1" applyNumberFormat="1" applyFont="1" applyFill="1" applyBorder="1" applyAlignment="1">
      <alignment vertical="center"/>
    </xf>
    <xf numFmtId="0" fontId="20" fillId="5" borderId="85" xfId="4" quotePrefix="1" applyNumberFormat="1" applyFont="1" applyFill="1" applyBorder="1" applyAlignment="1">
      <alignment vertical="center"/>
    </xf>
    <xf numFmtId="0" fontId="23" fillId="16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3" fillId="16" borderId="2" xfId="0" applyNumberFormat="1" applyFont="1" applyFill="1" applyBorder="1" applyAlignment="1">
      <alignment horizontal="center" vertical="center"/>
    </xf>
    <xf numFmtId="0" fontId="24" fillId="0" borderId="1" xfId="0" applyNumberFormat="1" applyFont="1" applyFill="1" applyBorder="1" applyAlignment="1">
      <alignment horizontal="center" vertical="center"/>
    </xf>
    <xf numFmtId="0" fontId="24" fillId="17" borderId="1" xfId="0" applyFont="1" applyFill="1" applyBorder="1" applyAlignment="1">
      <alignment vertical="center" wrapText="1"/>
    </xf>
    <xf numFmtId="0" fontId="24" fillId="0" borderId="1" xfId="0" applyNumberFormat="1" applyFont="1" applyBorder="1" applyAlignment="1">
      <alignment horizontal="center" vertical="center"/>
    </xf>
    <xf numFmtId="0" fontId="24" fillId="0" borderId="25" xfId="0" applyNumberFormat="1" applyFont="1" applyBorder="1" applyAlignment="1">
      <alignment horizontal="center" vertical="center"/>
    </xf>
    <xf numFmtId="0" fontId="24" fillId="0" borderId="26" xfId="0" applyNumberFormat="1" applyFont="1" applyBorder="1" applyAlignment="1">
      <alignment horizontal="left" vertical="center" wrapText="1"/>
    </xf>
    <xf numFmtId="0" fontId="24" fillId="0" borderId="26" xfId="0" applyNumberFormat="1" applyFont="1" applyBorder="1" applyAlignment="1">
      <alignment horizontal="left" vertical="center"/>
    </xf>
    <xf numFmtId="0" fontId="24" fillId="0" borderId="31" xfId="0" applyNumberFormat="1" applyFont="1" applyBorder="1" applyAlignment="1">
      <alignment horizontal="center" vertical="center"/>
    </xf>
    <xf numFmtId="0" fontId="24" fillId="0" borderId="29" xfId="0" applyNumberFormat="1" applyFont="1" applyBorder="1" applyAlignment="1">
      <alignment vertical="center" wrapText="1"/>
    </xf>
    <xf numFmtId="0" fontId="24" fillId="0" borderId="29" xfId="0" applyNumberFormat="1" applyFont="1" applyBorder="1" applyAlignment="1">
      <alignment horizontal="center" vertical="center"/>
    </xf>
    <xf numFmtId="0" fontId="24" fillId="0" borderId="30" xfId="0" applyNumberFormat="1" applyFont="1" applyBorder="1" applyAlignment="1">
      <alignment horizontal="center" vertical="center"/>
    </xf>
    <xf numFmtId="0" fontId="24" fillId="0" borderId="31" xfId="0" applyNumberFormat="1" applyFont="1" applyBorder="1" applyAlignment="1">
      <alignment horizontal="left" vertical="center" wrapText="1"/>
    </xf>
    <xf numFmtId="0" fontId="24" fillId="17" borderId="29" xfId="0" applyNumberFormat="1" applyFont="1" applyFill="1" applyBorder="1" applyAlignment="1">
      <alignment horizontal="center" vertical="center"/>
    </xf>
    <xf numFmtId="0" fontId="24" fillId="3" borderId="29" xfId="0" applyNumberFormat="1" applyFont="1" applyFill="1" applyBorder="1" applyAlignment="1">
      <alignment vertical="center"/>
    </xf>
    <xf numFmtId="4" fontId="24" fillId="0" borderId="29" xfId="0" applyNumberFormat="1" applyFont="1" applyBorder="1" applyAlignment="1">
      <alignment horizontal="center" vertical="center"/>
    </xf>
    <xf numFmtId="4" fontId="24" fillId="0" borderId="30" xfId="0" applyNumberFormat="1" applyFont="1" applyBorder="1" applyAlignment="1">
      <alignment horizontal="center" vertical="center"/>
    </xf>
    <xf numFmtId="0" fontId="23" fillId="16" borderId="2" xfId="0" applyNumberFormat="1" applyFont="1" applyFill="1" applyBorder="1" applyAlignment="1">
      <alignment vertical="top"/>
    </xf>
    <xf numFmtId="0" fontId="23" fillId="16" borderId="2" xfId="0" applyFont="1" applyFill="1" applyBorder="1" applyAlignment="1">
      <alignment vertical="top"/>
    </xf>
    <xf numFmtId="0" fontId="23" fillId="16" borderId="2" xfId="0" applyNumberFormat="1" applyFont="1" applyFill="1" applyBorder="1" applyAlignment="1">
      <alignment horizontal="center" vertical="top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1" xfId="4" applyFont="1" applyFill="1" applyBorder="1" applyAlignment="1">
      <alignment vertical="center"/>
    </xf>
    <xf numFmtId="0" fontId="20" fillId="0" borderId="80" xfId="1" applyFont="1" applyFill="1" applyBorder="1" applyAlignment="1">
      <alignment horizontal="center" vertical="center" wrapText="1"/>
    </xf>
    <xf numFmtId="0" fontId="20" fillId="0" borderId="75" xfId="1" applyFont="1" applyFill="1" applyBorder="1" applyAlignment="1">
      <alignment horizontal="center" vertical="center" wrapText="1"/>
    </xf>
    <xf numFmtId="0" fontId="20" fillId="0" borderId="76" xfId="1" applyFont="1" applyFill="1" applyBorder="1" applyAlignment="1">
      <alignment horizontal="center" vertical="center" wrapText="1"/>
    </xf>
    <xf numFmtId="0" fontId="20" fillId="0" borderId="77" xfId="1" applyFont="1" applyFill="1" applyBorder="1" applyAlignment="1">
      <alignment horizontal="center" vertical="center"/>
    </xf>
    <xf numFmtId="0" fontId="20" fillId="0" borderId="78" xfId="1" applyFont="1" applyFill="1" applyBorder="1" applyAlignment="1">
      <alignment horizontal="center" vertical="center"/>
    </xf>
    <xf numFmtId="0" fontId="20" fillId="0" borderId="79" xfId="1" applyFont="1" applyFill="1" applyBorder="1" applyAlignment="1">
      <alignment horizontal="center" vertical="center"/>
    </xf>
    <xf numFmtId="0" fontId="3" fillId="0" borderId="81" xfId="4" applyFont="1" applyFill="1" applyBorder="1" applyAlignment="1">
      <alignment vertical="center"/>
    </xf>
    <xf numFmtId="0" fontId="3" fillId="0" borderId="83" xfId="4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25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9" fillId="0" borderId="35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167" fontId="13" fillId="0" borderId="53" xfId="2" applyNumberFormat="1" applyFont="1" applyFill="1" applyBorder="1" applyAlignment="1">
      <alignment horizontal="center" vertical="center"/>
    </xf>
    <xf numFmtId="167" fontId="13" fillId="0" borderId="54" xfId="2" applyNumberFormat="1" applyFont="1" applyFill="1" applyBorder="1" applyAlignment="1">
      <alignment horizontal="center" vertical="center"/>
    </xf>
    <xf numFmtId="0" fontId="13" fillId="0" borderId="40" xfId="2" applyFont="1" applyBorder="1" applyAlignment="1">
      <alignment horizontal="left" vertical="center" wrapText="1"/>
    </xf>
    <xf numFmtId="0" fontId="13" fillId="0" borderId="42" xfId="2" applyFont="1" applyBorder="1" applyAlignment="1">
      <alignment horizontal="left" vertical="center" wrapText="1"/>
    </xf>
    <xf numFmtId="0" fontId="8" fillId="0" borderId="43" xfId="2" applyFont="1" applyBorder="1" applyAlignment="1">
      <alignment horizontal="left" vertical="center" wrapText="1"/>
    </xf>
    <xf numFmtId="0" fontId="8" fillId="0" borderId="44" xfId="2" applyFont="1" applyBorder="1" applyAlignment="1">
      <alignment horizontal="left" vertical="center" wrapText="1"/>
    </xf>
    <xf numFmtId="0" fontId="8" fillId="0" borderId="45" xfId="2" applyFont="1" applyBorder="1" applyAlignment="1">
      <alignment horizontal="left" vertical="center" wrapText="1"/>
    </xf>
    <xf numFmtId="0" fontId="8" fillId="0" borderId="55" xfId="2" applyFont="1" applyBorder="1" applyAlignment="1">
      <alignment horizontal="center" vertical="center" wrapText="1"/>
    </xf>
    <xf numFmtId="0" fontId="8" fillId="0" borderId="56" xfId="2" applyFont="1" applyBorder="1" applyAlignment="1">
      <alignment horizontal="center" vertical="center" wrapText="1"/>
    </xf>
    <xf numFmtId="0" fontId="8" fillId="0" borderId="57" xfId="2" applyFont="1" applyBorder="1" applyAlignment="1">
      <alignment horizontal="center" vertical="center" wrapText="1"/>
    </xf>
    <xf numFmtId="0" fontId="8" fillId="0" borderId="50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 wrapText="1"/>
    </xf>
    <xf numFmtId="0" fontId="8" fillId="0" borderId="51" xfId="2" applyFont="1" applyBorder="1" applyAlignment="1">
      <alignment horizontal="center" vertical="center" wrapText="1"/>
    </xf>
    <xf numFmtId="0" fontId="8" fillId="0" borderId="40" xfId="2" applyFont="1" applyBorder="1" applyAlignment="1">
      <alignment horizontal="center" vertical="center" wrapText="1"/>
    </xf>
    <xf numFmtId="0" fontId="8" fillId="0" borderId="41" xfId="2" applyFont="1" applyBorder="1" applyAlignment="1">
      <alignment horizontal="center" vertical="center" wrapText="1"/>
    </xf>
    <xf numFmtId="0" fontId="8" fillId="0" borderId="50" xfId="2" applyFont="1" applyBorder="1" applyAlignment="1">
      <alignment horizontal="left" vertical="center" wrapText="1"/>
    </xf>
    <xf numFmtId="0" fontId="8" fillId="0" borderId="0" xfId="2" applyFont="1" applyBorder="1" applyAlignment="1">
      <alignment horizontal="left" vertical="center" wrapText="1"/>
    </xf>
    <xf numFmtId="0" fontId="8" fillId="0" borderId="51" xfId="2" applyFont="1" applyBorder="1" applyAlignment="1">
      <alignment horizontal="left" vertical="center" wrapText="1"/>
    </xf>
    <xf numFmtId="0" fontId="8" fillId="0" borderId="59" xfId="2" applyFont="1" applyBorder="1" applyAlignment="1">
      <alignment horizontal="center" vertical="center" wrapText="1"/>
    </xf>
    <xf numFmtId="0" fontId="8" fillId="0" borderId="47" xfId="2" applyFont="1" applyBorder="1" applyAlignment="1">
      <alignment horizontal="center" vertical="center" wrapText="1"/>
    </xf>
    <xf numFmtId="0" fontId="8" fillId="0" borderId="48" xfId="2" applyFont="1" applyBorder="1" applyAlignment="1">
      <alignment horizontal="center" vertical="center" wrapText="1"/>
    </xf>
    <xf numFmtId="0" fontId="8" fillId="0" borderId="61" xfId="2" applyFont="1" applyBorder="1" applyAlignment="1">
      <alignment horizontal="center" vertical="center" wrapText="1"/>
    </xf>
    <xf numFmtId="0" fontId="8" fillId="0" borderId="52" xfId="2" applyFont="1" applyBorder="1" applyAlignment="1">
      <alignment horizontal="center" vertical="center" wrapText="1"/>
    </xf>
    <xf numFmtId="0" fontId="8" fillId="0" borderId="59" xfId="2" applyFont="1" applyBorder="1" applyAlignment="1">
      <alignment vertical="center" wrapText="1"/>
    </xf>
    <xf numFmtId="0" fontId="8" fillId="0" borderId="47" xfId="2" applyFont="1" applyBorder="1" applyAlignment="1">
      <alignment vertical="center" wrapText="1"/>
    </xf>
    <xf numFmtId="0" fontId="8" fillId="0" borderId="60" xfId="2" applyFont="1" applyBorder="1" applyAlignment="1">
      <alignment vertical="center" wrapText="1"/>
    </xf>
    <xf numFmtId="0" fontId="8" fillId="0" borderId="63" xfId="2" applyFont="1" applyBorder="1" applyAlignment="1">
      <alignment vertical="center" wrapText="1"/>
    </xf>
    <xf numFmtId="0" fontId="8" fillId="0" borderId="0" xfId="2" applyFont="1" applyBorder="1" applyAlignment="1">
      <alignment vertical="center" wrapText="1"/>
    </xf>
    <xf numFmtId="0" fontId="8" fillId="0" borderId="39" xfId="2" applyFont="1" applyBorder="1" applyAlignment="1">
      <alignment horizontal="center" vertical="center" wrapText="1"/>
    </xf>
    <xf numFmtId="0" fontId="8" fillId="0" borderId="46" xfId="2" applyFont="1" applyBorder="1" applyAlignment="1">
      <alignment horizontal="center" vertical="center" wrapText="1"/>
    </xf>
    <xf numFmtId="0" fontId="8" fillId="0" borderId="58" xfId="2" applyFont="1" applyBorder="1" applyAlignment="1">
      <alignment horizontal="center" vertical="center" wrapText="1"/>
    </xf>
    <xf numFmtId="0" fontId="8" fillId="0" borderId="40" xfId="2" applyFont="1" applyBorder="1" applyAlignment="1">
      <alignment vertical="center" wrapText="1"/>
    </xf>
    <xf numFmtId="0" fontId="8" fillId="0" borderId="41" xfId="2" applyFont="1" applyBorder="1" applyAlignment="1">
      <alignment vertical="center" wrapText="1"/>
    </xf>
    <xf numFmtId="0" fontId="8" fillId="0" borderId="42" xfId="2" applyFont="1" applyBorder="1" applyAlignment="1">
      <alignment vertical="center" wrapText="1"/>
    </xf>
    <xf numFmtId="0" fontId="8" fillId="0" borderId="40" xfId="2" applyFont="1" applyBorder="1" applyAlignment="1">
      <alignment horizontal="left" vertical="center" wrapText="1"/>
    </xf>
    <xf numFmtId="0" fontId="8" fillId="0" borderId="41" xfId="2" applyFont="1" applyBorder="1" applyAlignment="1">
      <alignment horizontal="left" vertical="center" wrapText="1"/>
    </xf>
    <xf numFmtId="0" fontId="8" fillId="0" borderId="39" xfId="2" applyFont="1" applyBorder="1" applyAlignment="1">
      <alignment horizontal="justify" vertical="center" wrapText="1"/>
    </xf>
    <xf numFmtId="0" fontId="8" fillId="0" borderId="46" xfId="2" applyFont="1" applyBorder="1" applyAlignment="1">
      <alignment horizontal="justify" vertical="center" wrapText="1"/>
    </xf>
    <xf numFmtId="0" fontId="8" fillId="0" borderId="58" xfId="2" applyFont="1" applyBorder="1" applyAlignment="1">
      <alignment horizontal="justify" vertical="center" wrapText="1"/>
    </xf>
    <xf numFmtId="0" fontId="8" fillId="0" borderId="63" xfId="2" applyFont="1" applyBorder="1" applyAlignment="1">
      <alignment horizontal="center" vertical="center" wrapText="1"/>
    </xf>
    <xf numFmtId="0" fontId="8" fillId="0" borderId="60" xfId="2" applyFont="1" applyBorder="1" applyAlignment="1">
      <alignment horizontal="center" vertical="center" wrapText="1"/>
    </xf>
    <xf numFmtId="0" fontId="8" fillId="0" borderId="61" xfId="2" applyFont="1" applyBorder="1" applyAlignment="1">
      <alignment vertical="center" wrapText="1"/>
    </xf>
    <xf numFmtId="0" fontId="8" fillId="0" borderId="52" xfId="2" applyFont="1" applyBorder="1" applyAlignment="1">
      <alignment vertical="center" wrapText="1"/>
    </xf>
    <xf numFmtId="0" fontId="8" fillId="0" borderId="49" xfId="2" applyFont="1" applyBorder="1" applyAlignment="1">
      <alignment vertical="center" wrapText="1"/>
    </xf>
    <xf numFmtId="0" fontId="8" fillId="0" borderId="64" xfId="2" applyFont="1" applyBorder="1" applyAlignment="1">
      <alignment horizontal="left" vertical="center"/>
    </xf>
    <xf numFmtId="0" fontId="8" fillId="0" borderId="65" xfId="2" applyFont="1" applyBorder="1" applyAlignment="1">
      <alignment horizontal="left" vertical="center"/>
    </xf>
    <xf numFmtId="0" fontId="8" fillId="0" borderId="66" xfId="2" applyFont="1" applyBorder="1" applyAlignment="1">
      <alignment horizontal="left" vertical="center"/>
    </xf>
    <xf numFmtId="164" fontId="13" fillId="0" borderId="67" xfId="3" applyFont="1" applyBorder="1" applyAlignment="1">
      <alignment horizontal="left" vertical="center" wrapText="1"/>
    </xf>
    <xf numFmtId="164" fontId="13" fillId="0" borderId="12" xfId="3" applyFont="1" applyBorder="1" applyAlignment="1">
      <alignment horizontal="left" vertical="center" wrapText="1"/>
    </xf>
    <xf numFmtId="164" fontId="13" fillId="0" borderId="68" xfId="3" applyFont="1" applyBorder="1" applyAlignment="1">
      <alignment horizontal="left" vertical="center" wrapText="1"/>
    </xf>
    <xf numFmtId="0" fontId="13" fillId="0" borderId="67" xfId="2" applyFont="1" applyBorder="1" applyAlignment="1">
      <alignment horizontal="left" vertical="center"/>
    </xf>
    <xf numFmtId="0" fontId="13" fillId="0" borderId="12" xfId="2" applyFont="1" applyBorder="1" applyAlignment="1">
      <alignment horizontal="left" vertical="center"/>
    </xf>
    <xf numFmtId="0" fontId="13" fillId="0" borderId="68" xfId="2" applyFont="1" applyBorder="1" applyAlignment="1">
      <alignment horizontal="left" vertical="center"/>
    </xf>
    <xf numFmtId="164" fontId="13" fillId="0" borderId="69" xfId="3" applyFont="1" applyBorder="1" applyAlignment="1">
      <alignment horizontal="left" vertical="center" wrapText="1"/>
    </xf>
    <xf numFmtId="164" fontId="13" fillId="0" borderId="70" xfId="3" applyFont="1" applyBorder="1" applyAlignment="1">
      <alignment horizontal="left" vertical="center" wrapText="1"/>
    </xf>
    <xf numFmtId="164" fontId="13" fillId="0" borderId="71" xfId="3" applyFont="1" applyBorder="1" applyAlignment="1">
      <alignment horizontal="left" vertical="center" wrapText="1"/>
    </xf>
    <xf numFmtId="0" fontId="13" fillId="0" borderId="69" xfId="2" applyFont="1" applyBorder="1" applyAlignment="1">
      <alignment horizontal="left" vertical="center" wrapText="1"/>
    </xf>
    <xf numFmtId="0" fontId="13" fillId="0" borderId="70" xfId="2" applyFont="1" applyBorder="1" applyAlignment="1">
      <alignment horizontal="left" vertical="center" wrapText="1"/>
    </xf>
    <xf numFmtId="0" fontId="13" fillId="0" borderId="71" xfId="2" applyFont="1" applyBorder="1" applyAlignment="1">
      <alignment horizontal="left" vertical="center" wrapText="1"/>
    </xf>
    <xf numFmtId="0" fontId="13" fillId="0" borderId="67" xfId="2" quotePrefix="1" applyFont="1" applyBorder="1" applyAlignment="1">
      <alignment horizontal="left" vertical="center"/>
    </xf>
    <xf numFmtId="0" fontId="13" fillId="0" borderId="69" xfId="2" applyFont="1" applyBorder="1" applyAlignment="1">
      <alignment horizontal="left" vertical="center"/>
    </xf>
    <xf numFmtId="0" fontId="13" fillId="0" borderId="70" xfId="2" applyFont="1" applyBorder="1" applyAlignment="1">
      <alignment horizontal="left" vertical="center"/>
    </xf>
    <xf numFmtId="0" fontId="13" fillId="0" borderId="71" xfId="2" applyFont="1" applyBorder="1" applyAlignment="1">
      <alignment horizontal="left" vertical="center"/>
    </xf>
    <xf numFmtId="0" fontId="14" fillId="14" borderId="2" xfId="5" applyBorder="1" applyAlignment="1">
      <alignment horizontal="center" vertical="center"/>
    </xf>
    <xf numFmtId="0" fontId="14" fillId="14" borderId="3" xfId="5" applyBorder="1" applyAlignment="1">
      <alignment horizontal="center" vertical="center"/>
    </xf>
    <xf numFmtId="0" fontId="14" fillId="14" borderId="4" xfId="5" applyBorder="1" applyAlignment="1">
      <alignment horizontal="center" vertical="center"/>
    </xf>
    <xf numFmtId="0" fontId="14" fillId="14" borderId="1" xfId="5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4" fillId="1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4" fillId="16" borderId="9" xfId="0" applyFont="1" applyFill="1" applyBorder="1" applyAlignment="1">
      <alignment horizontal="center" vertical="center"/>
    </xf>
    <xf numFmtId="0" fontId="14" fillId="16" borderId="8" xfId="0" applyFont="1" applyFill="1" applyBorder="1" applyAlignment="1">
      <alignment horizontal="center" vertical="center"/>
    </xf>
    <xf numFmtId="0" fontId="14" fillId="16" borderId="12" xfId="0" applyFont="1" applyFill="1" applyBorder="1" applyAlignment="1">
      <alignment horizontal="center" vertical="center"/>
    </xf>
    <xf numFmtId="0" fontId="14" fillId="16" borderId="2" xfId="0" applyFont="1" applyFill="1" applyBorder="1" applyAlignment="1">
      <alignment horizontal="center" vertical="center"/>
    </xf>
    <xf numFmtId="0" fontId="14" fillId="16" borderId="3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4" fillId="16" borderId="7" xfId="0" applyFont="1" applyFill="1" applyBorder="1" applyAlignment="1">
      <alignment horizontal="center" vertical="center"/>
    </xf>
    <xf numFmtId="0" fontId="14" fillId="16" borderId="36" xfId="0" applyFont="1" applyFill="1" applyBorder="1" applyAlignment="1">
      <alignment horizontal="center" vertical="center"/>
    </xf>
    <xf numFmtId="0" fontId="14" fillId="16" borderId="2" xfId="0" applyFont="1" applyFill="1" applyBorder="1" applyAlignment="1">
      <alignment horizontal="center" vertical="center" wrapText="1"/>
    </xf>
    <xf numFmtId="0" fontId="14" fillId="16" borderId="3" xfId="0" applyFont="1" applyFill="1" applyBorder="1" applyAlignment="1">
      <alignment horizontal="center" vertical="center" wrapText="1"/>
    </xf>
    <xf numFmtId="0" fontId="14" fillId="16" borderId="4" xfId="0" applyFont="1" applyFill="1" applyBorder="1" applyAlignment="1">
      <alignment horizontal="center" vertical="center" wrapText="1"/>
    </xf>
    <xf numFmtId="0" fontId="17" fillId="16" borderId="2" xfId="0" applyFont="1" applyFill="1" applyBorder="1" applyAlignment="1">
      <alignment horizontal="center" vertical="center" wrapText="1"/>
    </xf>
    <xf numFmtId="0" fontId="17" fillId="16" borderId="3" xfId="0" applyFont="1" applyFill="1" applyBorder="1" applyAlignment="1">
      <alignment horizontal="center" vertical="center" wrapText="1"/>
    </xf>
    <xf numFmtId="0" fontId="17" fillId="16" borderId="4" xfId="0" applyFont="1" applyFill="1" applyBorder="1" applyAlignment="1">
      <alignment horizontal="center" vertical="center" wrapText="1"/>
    </xf>
  </cellXfs>
  <cellStyles count="8">
    <cellStyle name="Accent1" xfId="4" builtinId="29"/>
    <cellStyle name="Accent3" xfId="7" builtinId="37"/>
    <cellStyle name="Accent4" xfId="6" builtinId="41"/>
    <cellStyle name="Accent6" xfId="5" builtinId="49"/>
    <cellStyle name="Comma [0]" xfId="3" builtinId="6"/>
    <cellStyle name="Normal" xfId="0" builtinId="0"/>
    <cellStyle name="Normal 2" xfId="1" xr:uid="{00000000-0005-0000-0000-000006000000}"/>
    <cellStyle name="Normal 3" xfId="2" xr:uid="{00000000-0005-0000-0000-000007000000}"/>
  </cellStyles>
  <dxfs count="69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9" tint="0.39997558519241921"/>
        </left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fill>
        <patternFill patternType="solid">
          <fgColor theme="6"/>
          <bgColor theme="6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solid">
          <fgColor indexed="64"/>
          <bgColor theme="6" tint="0.3999755851924192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>
          <bgColor rgb="FFFFFF99"/>
        </patternFill>
      </fill>
    </dxf>
    <dxf>
      <fill>
        <patternFill>
          <bgColor rgb="FFFFFF00"/>
        </patternFill>
      </fill>
    </dxf>
    <dxf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3" defaultTableStyle="TableStyleMedium2" defaultPivotStyle="PivotStyleLight16">
    <tableStyle name="Table Style 1" pivot="0" count="1" xr9:uid="{00000000-0011-0000-FFFF-FFFF00000000}">
      <tableStyleElement type="firstColumnStripe" dxfId="695"/>
    </tableStyle>
    <tableStyle name="Table Style 2" pivot="0" count="1" xr9:uid="{00000000-0011-0000-FFFF-FFFF01000000}">
      <tableStyleElement type="firstRowStripe" dxfId="694"/>
    </tableStyle>
    <tableStyle name="Table Style 3" pivot="0" count="3" xr9:uid="{00000000-0011-0000-FFFF-FFFF02000000}">
      <tableStyleElement type="wholeTable" dxfId="693"/>
      <tableStyleElement type="headerRow" dxfId="692"/>
      <tableStyleElement type="firstRowStripe" dxfId="691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47625</xdr:rowOff>
    </xdr:from>
    <xdr:to>
      <xdr:col>5</xdr:col>
      <xdr:colOff>571500</xdr:colOff>
      <xdr:row>7</xdr:row>
      <xdr:rowOff>190500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9934575" y="95250"/>
          <a:ext cx="1171575" cy="1514475"/>
        </a:xfrm>
        <a:prstGeom prst="left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di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isi pada warna ini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10</xdr:row>
      <xdr:rowOff>152400</xdr:rowOff>
    </xdr:from>
    <xdr:to>
      <xdr:col>5</xdr:col>
      <xdr:colOff>561975</xdr:colOff>
      <xdr:row>18</xdr:row>
      <xdr:rowOff>19050</xdr:rowOff>
    </xdr:to>
    <xdr:sp macro="" textlink="">
      <xdr:nvSpPr>
        <xdr:cNvPr id="3" name="Left Arrow 1">
          <a:extLst>
            <a:ext uri="{FF2B5EF4-FFF2-40B4-BE49-F238E27FC236}">
              <a16:creationId xmlns:a16="http://schemas.microsoft.com/office/drawing/2014/main" id="{6E4961CA-AAEA-481C-85BC-C0A292F2F1AE}"/>
            </a:ext>
          </a:extLst>
        </xdr:cNvPr>
        <xdr:cNvSpPr/>
      </xdr:nvSpPr>
      <xdr:spPr>
        <a:xfrm>
          <a:off x="9925050" y="2076450"/>
          <a:ext cx="1171575" cy="1514475"/>
        </a:xfrm>
        <a:prstGeom prst="leftArrow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di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isi pada warna ini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1543050</xdr:colOff>
      <xdr:row>4</xdr:row>
      <xdr:rowOff>0</xdr:rowOff>
    </xdr:from>
    <xdr:to>
      <xdr:col>2</xdr:col>
      <xdr:colOff>1543050</xdr:colOff>
      <xdr:row>9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2505075" y="762000"/>
          <a:ext cx="0" cy="9620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1543050</xdr:colOff>
      <xdr:row>9</xdr:row>
      <xdr:rowOff>0</xdr:rowOff>
    </xdr:from>
    <xdr:to>
      <xdr:col>2</xdr:col>
      <xdr:colOff>1543050</xdr:colOff>
      <xdr:row>9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>
          <a:off x="2133600" y="762000"/>
          <a:ext cx="0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444499</xdr:colOff>
      <xdr:row>24</xdr:row>
      <xdr:rowOff>169334</xdr:rowOff>
    </xdr:from>
    <xdr:to>
      <xdr:col>15</xdr:col>
      <xdr:colOff>593841</xdr:colOff>
      <xdr:row>29</xdr:row>
      <xdr:rowOff>92714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BD4622-354C-4D08-824E-701B76B08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8416" y="9133417"/>
          <a:ext cx="879592" cy="8864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utJabatan" displayName="TabutJabatan" ref="B2:B7" totalsRowShown="0" headerRowDxfId="690" dataDxfId="689">
  <autoFilter ref="B2:B7" xr:uid="{00000000-0009-0000-0100-000001000000}"/>
  <tableColumns count="1">
    <tableColumn id="1" xr3:uid="{00000000-0010-0000-0000-000001000000}" name="Jabatan" dataDxfId="68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utPendidikan" displayName="TabutPendidikan" ref="D2:D4" totalsRowShown="0" headerRowDxfId="687" dataDxfId="686">
  <autoFilter ref="D2:D4" xr:uid="{00000000-0009-0000-0100-000002000000}"/>
  <tableColumns count="1">
    <tableColumn id="1" xr3:uid="{00000000-0010-0000-0100-000001000000}" name="Pendidikan" dataDxfId="68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utProdi" displayName="TabutProdi" ref="F2:F6" totalsRowShown="0" headerRowDxfId="684" dataDxfId="683">
  <autoFilter ref="F2:F6" xr:uid="{00000000-0009-0000-0100-000003000000}"/>
  <tableColumns count="1">
    <tableColumn id="1" xr3:uid="{00000000-0010-0000-0200-000001000000}" name="Prodi" dataDxfId="68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3000000}" name="TabutKalender" displayName="TabutKalender" ref="H2:H5" totalsRowShown="0" headerRowDxfId="681" dataDxfId="680">
  <autoFilter ref="H2:H5" xr:uid="{00000000-0009-0000-0100-00000C000000}"/>
  <tableColumns count="1">
    <tableColumn id="1" xr3:uid="{00000000-0010-0000-0300-000001000000}" name="Kalender" dataDxfId="679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utPilihan" displayName="TabutPilihan" ref="J2:J4" totalsRowShown="0" headerRowDxfId="678" dataDxfId="677">
  <autoFilter ref="J2:J4" xr:uid="{00000000-0009-0000-0100-00000B000000}"/>
  <tableColumns count="1">
    <tableColumn id="1" xr3:uid="{00000000-0010-0000-0400-000001000000}" name="Pilihan" dataDxfId="676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5000000}" name="TabutBimbingan" displayName="TabutBimbingan" ref="B9:B13" totalsRowShown="0" headerRowDxfId="675" dataDxfId="674">
  <autoFilter ref="B9:B13" xr:uid="{00000000-0009-0000-0100-00000E000000}"/>
  <tableColumns count="1">
    <tableColumn id="1" xr3:uid="{00000000-0010-0000-0500-000001000000}" name="Bimbingan" dataDxfId="673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6000000}" name="TabutPembimbing" displayName="TabutPembimbing" ref="D9:D11" totalsRowShown="0" headerRowDxfId="672" dataDxfId="671">
  <autoFilter ref="D9:D11" xr:uid="{00000000-0009-0000-0100-00000F000000}"/>
  <tableColumns count="1">
    <tableColumn id="1" xr3:uid="{00000000-0010-0000-0600-000001000000}" name="Pembimbing" dataDxfId="670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TabutPenguji" displayName="TabutPenguji" ref="F9:F12" totalsRowShown="0" headerRowDxfId="669" dataDxfId="668">
  <autoFilter ref="F9:F12" xr:uid="{00000000-0009-0000-0100-000010000000}"/>
  <tableColumns count="1">
    <tableColumn id="1" xr3:uid="{00000000-0010-0000-0700-000001000000}" name="Penguji" dataDxfId="667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8000000}" name="TabutBahanAjar" displayName="TabutBahanAjar" ref="H9:H17" totalsRowShown="0" headerRowDxfId="666" dataDxfId="665">
  <autoFilter ref="H9:H17" xr:uid="{00000000-0009-0000-0100-00001A000000}"/>
  <tableColumns count="1">
    <tableColumn id="1" xr3:uid="{00000000-0010-0000-0800-000001000000}" name="Bahan Ajar" dataDxfId="664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9000000}" name="TabutBentukPt" displayName="TabutBentukPt" ref="J9:J14" totalsRowShown="0" headerRowDxfId="663" dataDxfId="662">
  <autoFilter ref="J9:J14" xr:uid="{00000000-0009-0000-0100-00001D000000}"/>
  <tableColumns count="1">
    <tableColumn id="1" xr3:uid="{00000000-0010-0000-0900-000001000000}" name="Bentuk PT" dataDxfId="661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A000000}" name="TabutStruktural" displayName="TabutStruktural" ref="L2:L27" totalsRowShown="0" headerRowDxfId="660" dataDxfId="659">
  <autoFilter ref="L2:L27" xr:uid="{00000000-0009-0000-0100-00001E000000}"/>
  <tableColumns count="1">
    <tableColumn id="1" xr3:uid="{00000000-0010-0000-0A00-000001000000}" name="Struktural" dataDxfId="658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0B000000}" name="TabutPencangkokan" displayName="TabutPencangkokan" ref="D15:D17" totalsRowShown="0" headerRowDxfId="657" dataDxfId="656">
  <autoFilter ref="D15:D17" xr:uid="{00000000-0009-0000-0100-000022000000}"/>
  <tableColumns count="1">
    <tableColumn id="1" xr3:uid="{00000000-0010-0000-0B00-000001000000}" name="Pencangkokan" dataDxfId="655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0C000000}" name="TabutDetasering" displayName="TabutDetasering" ref="F15:F17" totalsRowShown="0" headerRowDxfId="654" dataDxfId="653">
  <autoFilter ref="F15:F17" xr:uid="{00000000-0009-0000-0100-000023000000}"/>
  <tableColumns count="1">
    <tableColumn id="1" xr3:uid="{00000000-0010-0000-0C00-000001000000}" name="Detasering" dataDxfId="652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0D000000}" name="TabutKepangkatan" displayName="TabutKepangkatan" ref="N2:P19" totalsRowShown="0" headerRowDxfId="651" dataDxfId="650">
  <autoFilter ref="N2:P19" xr:uid="{00000000-0009-0000-0100-000047000000}"/>
  <tableColumns count="3">
    <tableColumn id="1" xr3:uid="{00000000-0010-0000-0D00-000001000000}" name="Golongan" dataDxfId="649"/>
    <tableColumn id="2" xr3:uid="{00000000-0010-0000-0D00-000002000000}" name="Pangkat" dataDxfId="648"/>
    <tableColumn id="3" xr3:uid="{00000000-0010-0000-0D00-000003000000}" name="Kepangkatan" dataDxfId="647">
      <calculatedColumnFormula>TabutKepangkatan[[#This Row],[Pangkat]]&amp;" , "&amp;TabutKepangkatan[[#This Row],[Golongan]]</calculatedColumnFormula>
    </tableColumn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0E000000}" name="TabutKedudukan" displayName="TabutKedudukan" ref="B15:B22" totalsRowShown="0" headerRowDxfId="646" dataDxfId="645">
  <autoFilter ref="B15:B22" xr:uid="{00000000-0009-0000-0100-00003E000000}"/>
  <tableColumns count="1">
    <tableColumn id="1" xr3:uid="{00000000-0010-0000-0E00-000001000000}" name="Kedudukan" dataDxfId="644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0F000000}" name="TabutNilai" displayName="TabutNilai" ref="N23:P29" totalsRowShown="0" headerRowDxfId="643" dataDxfId="642">
  <autoFilter ref="N23:P29" xr:uid="{00000000-0009-0000-0100-000041000000}"/>
  <tableColumns count="3">
    <tableColumn id="1" xr3:uid="{00000000-0010-0000-0F00-000001000000}" name="Kinerja" dataDxfId="641"/>
    <tableColumn id="2" xr3:uid="{00000000-0010-0000-0F00-000002000000}" name="Perilaku" dataDxfId="640"/>
    <tableColumn id="3" xr3:uid="{00000000-0010-0000-0F00-000003000000}" name="Sebutan" dataDxfId="639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10000000}" name="TabRef2" displayName="TabRef2" ref="B10:E50" totalsRowShown="0" headerRowDxfId="638" headerRowBorderDxfId="637" tableBorderDxfId="636" totalsRowBorderDxfId="635" headerRowCellStyle="Normal 2">
  <autoFilter ref="B10:E50" xr:uid="{00000000-0009-0000-0100-000031000000}"/>
  <sortState xmlns:xlrd2="http://schemas.microsoft.com/office/spreadsheetml/2017/richdata2" ref="B11:E50">
    <sortCondition ref="D11:D50"/>
  </sortState>
  <tableColumns count="4">
    <tableColumn id="1" xr3:uid="{00000000-0010-0000-1000-000001000000}" name="Column1" dataDxfId="634" dataCellStyle="Normal 2"/>
    <tableColumn id="2" xr3:uid="{00000000-0010-0000-1000-000002000000}" name="Column2" dataDxfId="633" dataCellStyle="Normal 2"/>
    <tableColumn id="3" xr3:uid="{00000000-0010-0000-1000-000003000000}" name="Column3" dataDxfId="632" dataCellStyle="Normal 2">
      <calculatedColumnFormula>CONCATENATE(B11,C11)</calculatedColumnFormula>
    </tableColumn>
    <tableColumn id="4" xr3:uid="{00000000-0010-0000-1000-000004000000}" name="Column4" dataDxfId="631" dataCellStyle="Normal 2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11000000}" name="TabRef3" displayName="TabRef3" ref="B56:E149" totalsRowShown="0" headerRowDxfId="630" headerRowBorderDxfId="629" tableBorderDxfId="628" totalsRowBorderDxfId="627">
  <autoFilter ref="B56:E149" xr:uid="{00000000-0009-0000-0100-000032000000}"/>
  <sortState xmlns:xlrd2="http://schemas.microsoft.com/office/spreadsheetml/2017/richdata2" ref="B57:E149">
    <sortCondition ref="D57:D149"/>
  </sortState>
  <tableColumns count="4">
    <tableColumn id="1" xr3:uid="{00000000-0010-0000-1100-000001000000}" name="Column1" dataDxfId="626" dataCellStyle="Normal 2"/>
    <tableColumn id="2" xr3:uid="{00000000-0010-0000-1100-000002000000}" name="Column2" dataDxfId="625" dataCellStyle="Normal 2"/>
    <tableColumn id="3" xr3:uid="{00000000-0010-0000-1100-000003000000}" name="Column3" dataDxfId="624" dataCellStyle="Normal 2">
      <calculatedColumnFormula>CONCATENATE(B57,C57)</calculatedColumnFormula>
    </tableColumn>
    <tableColumn id="4" xr3:uid="{00000000-0010-0000-1100-000004000000}" name="Column4" dataDxfId="623" dataCellStyle="Normal 2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12000000}" name="TabRef4" displayName="TabRef4" ref="B156:H296" totalsRowShown="0" headerRowDxfId="622" dataDxfId="620" headerRowBorderDxfId="621" tableBorderDxfId="619" headerRowCellStyle="Normal 2" dataCellStyle="Normal 2">
  <autoFilter ref="B156:H296" xr:uid="{00000000-0009-0000-0100-000033000000}"/>
  <sortState xmlns:xlrd2="http://schemas.microsoft.com/office/spreadsheetml/2017/richdata2" ref="B157:H295">
    <sortCondition ref="D157:D295"/>
  </sortState>
  <tableColumns count="7">
    <tableColumn id="1" xr3:uid="{00000000-0010-0000-1200-000001000000}" name="Column1" dataDxfId="618" dataCellStyle="Normal 2"/>
    <tableColumn id="2" xr3:uid="{00000000-0010-0000-1200-000002000000}" name="Column2" dataDxfId="617" dataCellStyle="Normal 2"/>
    <tableColumn id="3" xr3:uid="{00000000-0010-0000-1200-000003000000}" name="Column3" dataDxfId="616" dataCellStyle="Normal 2">
      <calculatedColumnFormula>CONCATENATE(B157,C157)</calculatedColumnFormula>
    </tableColumn>
    <tableColumn id="4" xr3:uid="{00000000-0010-0000-1200-000004000000}" name="Column4" dataDxfId="615" dataCellStyle="Normal 2"/>
    <tableColumn id="5" xr3:uid="{00000000-0010-0000-1200-000005000000}" name="Column5" dataDxfId="614" dataCellStyle="Normal 2"/>
    <tableColumn id="6" xr3:uid="{00000000-0010-0000-1200-000006000000}" name="Column6" dataDxfId="613" dataCellStyle="Normal 2"/>
    <tableColumn id="7" xr3:uid="{00000000-0010-0000-1200-000007000000}" name="Column7" dataDxfId="612" dataCellStyle="Normal 2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3000000}" name="TabTur3" displayName="TabTur3" ref="B13:E39" totalsRowShown="0" headerRowDxfId="611" headerRowBorderDxfId="610" tableBorderDxfId="609" totalsRowBorderDxfId="608">
  <autoFilter ref="B13:E39" xr:uid="{00000000-0009-0000-0100-00002A000000}"/>
  <sortState xmlns:xlrd2="http://schemas.microsoft.com/office/spreadsheetml/2017/richdata2" ref="B14:E39">
    <sortCondition ref="D14:D39"/>
  </sortState>
  <tableColumns count="4">
    <tableColumn id="1" xr3:uid="{00000000-0010-0000-1300-000001000000}" name="Column1" dataDxfId="607" dataCellStyle="Normal 2"/>
    <tableColumn id="2" xr3:uid="{00000000-0010-0000-1300-000002000000}" name="Column2" dataDxfId="606" dataCellStyle="Normal 2"/>
    <tableColumn id="3" xr3:uid="{00000000-0010-0000-1300-000003000000}" name="Column3" dataDxfId="605" dataCellStyle="Normal 2"/>
    <tableColumn id="4" xr3:uid="{00000000-0010-0000-1300-000004000000}" name="Column4" dataDxfId="604" dataCellStyle="Normal 2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4000000}" name="TabTur3Sub" displayName="TabTur3Sub" ref="B51:F106" totalsRowShown="0" headerRowDxfId="603" headerRowBorderDxfId="602" tableBorderDxfId="601" totalsRowBorderDxfId="600" headerRowCellStyle="Normal 2">
  <autoFilter ref="B51:F106" xr:uid="{00000000-0009-0000-0100-00002B000000}"/>
  <tableColumns count="5">
    <tableColumn id="1" xr3:uid="{00000000-0010-0000-1400-000001000000}" name="Column1" dataDxfId="599" dataCellStyle="Normal 2"/>
    <tableColumn id="2" xr3:uid="{00000000-0010-0000-1400-000002000000}" name="Column2" dataDxfId="598" dataCellStyle="Normal 2"/>
    <tableColumn id="3" xr3:uid="{00000000-0010-0000-1400-000003000000}" name="Column3" dataDxfId="597" dataCellStyle="Normal 2"/>
    <tableColumn id="4" xr3:uid="{00000000-0010-0000-1400-000004000000}" name="Column4" dataDxfId="596" dataCellStyle="Normal 2"/>
    <tableColumn id="5" xr3:uid="{00000000-0010-0000-1400-000005000000}" name="Column5" dataDxfId="595" dataCellStyle="Normal 2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15000000}" name="SKP_formulir" displayName="SKP_formulir" ref="B12:J24" totalsRowShown="0" headerRowDxfId="594" dataDxfId="592" headerRowBorderDxfId="593" tableBorderDxfId="591" totalsRowBorderDxfId="590">
  <autoFilter ref="B12:J24" xr:uid="{00000000-0009-0000-0100-000045000000}"/>
  <tableColumns count="9">
    <tableColumn id="6" xr3:uid="{00000000-0010-0000-1500-000006000000}" name="No" dataDxfId="589">
      <calculatedColumnFormula>ROW(SKP_formulir[[#This Row],[No]])-13</calculatedColumnFormula>
    </tableColumn>
    <tableColumn id="2" xr3:uid="{00000000-0010-0000-1500-000002000000}" name="Uraian" dataDxfId="588">
      <calculatedColumnFormula>VLOOKUP(#REF!,Tabur[],2,FALSE)</calculatedColumnFormula>
    </tableColumn>
    <tableColumn id="3" xr3:uid="{00000000-0010-0000-1500-000003000000}" name="Ak" dataDxfId="587">
      <calculatedColumnFormula>IFERROR(INDEX(Tabur[1TTK],MATCH(SKP_formulir[[#This Row],[Uraian]],Tabur[Uraian],0),0),0)</calculatedColumnFormula>
    </tableColumn>
    <tableColumn id="4" xr3:uid="{00000000-0010-0000-1500-000004000000}" name="Qty" dataDxfId="586">
      <calculatedColumnFormula>IFERROR(INDEX(Tabur[1TTJ],MATCH(SKP_formulir[[#This Row],[Uraian]],Tabur[Uraian],0),0),0)</calculatedColumnFormula>
    </tableColumn>
    <tableColumn id="5" xr3:uid="{00000000-0010-0000-1500-000005000000}" name="QtySat" dataDxfId="585">
      <calculatedColumnFormula>IFERROR(INDEX(Tabur[Satuan],MATCH(SKP_formulir[[#This Row],[Uraian]],Tabur[Uraian],0),0),"")</calculatedColumnFormula>
    </tableColumn>
    <tableColumn id="8" xr3:uid="{00000000-0010-0000-1500-000008000000}" name="Qlt" dataDxfId="584">
      <calculatedColumnFormula>IFERROR(INDEX(Tabur[Kualitas],MATCH(SKP_formulir[[#This Row],[Uraian]],Tabur[Uraian],0),0),0)</calculatedColumnFormula>
    </tableColumn>
    <tableColumn id="11" xr3:uid="{00000000-0010-0000-1500-00000B000000}" name="Waktu" dataDxfId="583">
      <calculatedColumnFormula>IFERROR(INDEX(Tabur[Durasi],MATCH(SKP_formulir[[#This Row],[Uraian]],Tabur[Uraian],0),0),0)</calculatedColumnFormula>
    </tableColumn>
    <tableColumn id="9" xr3:uid="{00000000-0010-0000-1500-000009000000}" name="WaktuSat" dataDxfId="582">
      <calculatedColumnFormula>IFERROR(INDEX(Tabur[DurasiSat],MATCH(SKP_formulir[[#This Row],[Uraian]],Tabur[Uraian],0),0),"")</calculatedColumnFormula>
    </tableColumn>
    <tableColumn id="10" xr3:uid="{00000000-0010-0000-1500-00000A000000}" name="Biaya" dataDxfId="581">
      <calculatedColumnFormula>IFERROR(INDEX(Tabur[Biaya],MATCH(SKP_formulir[[#This Row],[Uraian]],Tabur[Uraian],0),0),"-")</calculatedColumnFormula>
    </tableColumn>
  </tableColumns>
  <tableStyleInfo name="TableStyleLight1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16000000}" name="PENGUKURAN_formulir" displayName="PENGUKURAN_formulir" ref="B12:AF24" totalsRowShown="0" headerRowDxfId="580" dataDxfId="578" headerRowBorderDxfId="579" tableBorderDxfId="577" totalsRowBorderDxfId="576">
  <autoFilter ref="B12:AF24" xr:uid="{00000000-0009-0000-0100-00004D000000}"/>
  <tableColumns count="31">
    <tableColumn id="1" xr3:uid="{00000000-0010-0000-1600-000001000000}" name="No" dataDxfId="575">
      <calculatedColumnFormula>SKP_formulir[[#This Row],[No]]</calculatedColumnFormula>
    </tableColumn>
    <tableColumn id="2" xr3:uid="{00000000-0010-0000-1600-000002000000}" name="Uraian" dataDxfId="574">
      <calculatedColumnFormula>SKP_formulir[[#This Row],[Uraian]]</calculatedColumnFormula>
    </tableColumn>
    <tableColumn id="3" xr3:uid="{00000000-0010-0000-1600-000003000000}" name="Ak" dataDxfId="573">
      <calculatedColumnFormula>SKP_formulir[[#This Row],[Ak]]</calculatedColumnFormula>
    </tableColumn>
    <tableColumn id="4" xr3:uid="{00000000-0010-0000-1600-000004000000}" name="Qty" dataDxfId="572">
      <calculatedColumnFormula>SKP_formulir[[#This Row],[Qty]]</calculatedColumnFormula>
    </tableColumn>
    <tableColumn id="5" xr3:uid="{00000000-0010-0000-1600-000005000000}" name="QtySat" dataDxfId="571">
      <calculatedColumnFormula>SKP_formulir[[#This Row],[QtySat]]</calculatedColumnFormula>
    </tableColumn>
    <tableColumn id="6" xr3:uid="{00000000-0010-0000-1600-000006000000}" name="Qlt" dataDxfId="570">
      <calculatedColumnFormula>SKP_formulir[[#This Row],[Qlt]]</calculatedColumnFormula>
    </tableColumn>
    <tableColumn id="7" xr3:uid="{00000000-0010-0000-1600-000007000000}" name="Waktu" dataDxfId="569">
      <calculatedColumnFormula>SKP_formulir[[#This Row],[Waktu]]</calculatedColumnFormula>
    </tableColumn>
    <tableColumn id="8" xr3:uid="{00000000-0010-0000-1600-000008000000}" name="WaktuSat" dataDxfId="568">
      <calculatedColumnFormula>SKP_formulir[[#This Row],[WaktuSat]]</calculatedColumnFormula>
    </tableColumn>
    <tableColumn id="9" xr3:uid="{00000000-0010-0000-1600-000009000000}" name="Biaya" dataDxfId="567">
      <calculatedColumnFormula>SKP_formulir[[#This Row],[Biaya]]</calculatedColumnFormula>
    </tableColumn>
    <tableColumn id="10" xr3:uid="{00000000-0010-0000-1600-00000A000000}" name="Ak2" dataDxfId="566">
      <calculatedColumnFormula>IFERROR(INDEX(Tabur[1TCK],MATCH(PENGUKURAN_formulir[[#This Row],[Uraian]],Tabur[Uraian],0),0),0)</calculatedColumnFormula>
    </tableColumn>
    <tableColumn id="16" xr3:uid="{00000000-0010-0000-1600-000010000000}" name="Qty2" dataDxfId="565">
      <calculatedColumnFormula>IFERROR(INDEX(Tabur[1TCJ],MATCH(PENGUKURAN_formulir[[#This Row],[Uraian]],Tabur[Uraian],0),0),0)</calculatedColumnFormula>
    </tableColumn>
    <tableColumn id="15" xr3:uid="{00000000-0010-0000-1600-00000F000000}" name="QtySat2" dataDxfId="564">
      <calculatedColumnFormula>IFERROR(INDEX(Tabur[Satuan],MATCH(PENGUKURAN_formulir[[#This Row],[Uraian]],Tabur[Uraian],0),0),"")</calculatedColumnFormula>
    </tableColumn>
    <tableColumn id="14" xr3:uid="{00000000-0010-0000-1600-00000E000000}" name="Qlt2" dataDxfId="563"/>
    <tableColumn id="13" xr3:uid="{00000000-0010-0000-1600-00000D000000}" name="Waktu2" dataDxfId="562">
      <calculatedColumnFormula>IFERROR(INDEX(Tabur[Durasi],MATCH(PENGUKURAN_formulir[[#This Row],[Uraian]],Tabur[Uraian],0),0),0)</calculatedColumnFormula>
    </tableColumn>
    <tableColumn id="11" xr3:uid="{00000000-0010-0000-1600-00000B000000}" name="WaktuSat2" dataDxfId="561">
      <calculatedColumnFormula>IFERROR(INDEX(Tabur[DurasiSat],MATCH(PENGUKURAN_formulir[[#This Row],[Uraian]],Tabur[Uraian],0),0),"")</calculatedColumnFormula>
    </tableColumn>
    <tableColumn id="12" xr3:uid="{00000000-0010-0000-1600-00000C000000}" name="Biaya2" dataDxfId="560">
      <calculatedColumnFormula>IFERROR(INDEX(Tabur[Biaya],MATCH(PENGUKURAN_formulir[[#This Row],[Uraian]],Tabur[Uraian],0),0),"-")</calculatedColumnFormula>
    </tableColumn>
    <tableColumn id="17" xr3:uid="{00000000-0010-0000-1600-000011000000}" name="_qty" dataDxfId="559">
      <calculatedColumnFormula>IF(PENGUKURAN_formulir[[#This Row],[Qty]]&gt;0,1,0)</calculatedColumnFormula>
    </tableColumn>
    <tableColumn id="18" xr3:uid="{00000000-0010-0000-1600-000012000000}" name="_error_capaian_skp" dataDxfId="558"/>
    <tableColumn id="22" xr3:uid="{00000000-0010-0000-1600-000016000000}" name="_persen_waktu" dataDxfId="557">
      <calculatedColumnFormula>100-(PENGUKURAN_formulir[[#This Row],[Waktu2]]/PENGUKURAN_formulir[[#This Row],[Waktu]]*100)</calculatedColumnFormula>
    </tableColumn>
    <tableColumn id="21" xr3:uid="{00000000-0010-0000-1600-000015000000}" name="_persen_biaya" dataDxfId="556">
      <calculatedColumnFormula>100-(PENGUKURAN_formulir[[#This Row],[Biaya2]]/PENGUKURAN_formulir[[#This Row],[Biaya]]*100)</calculatedColumnFormula>
    </tableColumn>
    <tableColumn id="19" xr3:uid="{00000000-0010-0000-1600-000013000000}" name="_kuantitas" dataDxfId="555">
      <calculatedColumnFormula>PENGUKURAN_formulir[[#This Row],[Qty2]]/PENGUKURAN_formulir[[#This Row],[Qty]]*100</calculatedColumnFormula>
    </tableColumn>
    <tableColumn id="20" xr3:uid="{00000000-0010-0000-1600-000014000000}" name="_kualitas" dataDxfId="554">
      <calculatedColumnFormula>PENGUKURAN_formulir[[#This Row],[Qlt2]]/PENGUKURAN_formulir[[#This Row],[Qlt]]*100</calculatedColumnFormula>
    </tableColumn>
    <tableColumn id="23" xr3:uid="{00000000-0010-0000-1600-000017000000}" name="_waktu" dataDxfId="553">
      <calculatedColumnFormula>IF(PENGUKURAN_formulir[[#This Row],[_persen_waktu]]&gt;24,PENGUKURAN_formulir[[#This Row],[_rw&gt;24]],PENGUKURAN_formulir[[#This Row],[_rw&lt;24]])</calculatedColumnFormula>
    </tableColumn>
    <tableColumn id="24" xr3:uid="{00000000-0010-0000-1600-000018000000}" name="_biaya" dataDxfId="552">
      <calculatedColumnFormula>IF(PENGUKURAN_formulir[[#This Row],[_persen_biaya]]&gt;24,PENGUKURAN_formulir[[#This Row],[_rb&gt;24]],PENGUKURAN_formulir[[#This Row],[_rb&lt;24]])</calculatedColumnFormula>
    </tableColumn>
    <tableColumn id="25" xr3:uid="{00000000-0010-0000-1600-000019000000}" name="_rw&lt;24" dataDxfId="551">
      <calculatedColumnFormula>((1.76*PENGUKURAN_formulir[[#This Row],[Waktu]]-PENGUKURAN_formulir[[#This Row],[Waktu2]])/PENGUKURAN_formulir[[#This Row],[Waktu]])*100</calculatedColumnFormula>
    </tableColumn>
    <tableColumn id="26" xr3:uid="{00000000-0010-0000-1600-00001A000000}" name="_rw&gt;24" dataDxfId="550">
      <calculatedColumnFormula>76-((((1.76*PENGUKURAN_formulir[[#This Row],[Waktu]]-PENGUKURAN_formulir[[#This Row],[Waktu2]])/PENGUKURAN_formulir[[#This Row],[Waktu]])*100)-100)</calculatedColumnFormula>
    </tableColumn>
    <tableColumn id="27" xr3:uid="{00000000-0010-0000-1600-00001B000000}" name="_rb&lt;24" dataDxfId="549">
      <calculatedColumnFormula>((1.76*PENGUKURAN_formulir[[#This Row],[Biaya]]-PENGUKURAN_formulir[[#This Row],[Biaya2]])/PENGUKURAN_formulir[[#This Row],[Biaya]])*100</calculatedColumnFormula>
    </tableColumn>
    <tableColumn id="28" xr3:uid="{00000000-0010-0000-1600-00001C000000}" name="_rb&gt;24" dataDxfId="548">
      <calculatedColumnFormula>76-((((1.76*PENGUKURAN_formulir[[#This Row],[Biaya]]-PENGUKURAN_formulir[[#This Row],[Biaya2]])/PENGUKURAN_formulir[[#This Row],[Biaya]])*100)-100)</calculatedColumnFormula>
    </tableColumn>
    <tableColumn id="29" xr3:uid="{00000000-0010-0000-1600-00001D000000}" name="_penghitungan" dataDxfId="547">
      <calculatedColumnFormula>IFERROR(SUM(PENGUKURAN_formulir[[#This Row],[_kuantitas]:[_biaya]]),SUM(PENGUKURAN_formulir[[#This Row],[_kuantitas]:[_waktu]]))</calculatedColumnFormula>
    </tableColumn>
    <tableColumn id="30" xr3:uid="{00000000-0010-0000-1600-00001E000000}" name="Penghitungan" dataDxfId="546">
      <calculatedColumnFormula>IFERROR(PENGUKURAN_formulir[[#This Row],[_penghitungan]],0)</calculatedColumnFormula>
    </tableColumn>
    <tableColumn id="31" xr3:uid="{00000000-0010-0000-1600-00001F000000}" name="Capaian" dataDxfId="545">
      <calculatedColumnFormula>IF(PENGUKURAN_formulir[[#This Row],[Biaya]]="-",IF(PENGUKURAN_formulir[[#This Row],[Biaya2]]="-",PENGUKURAN_formulir[[#This Row],[Penghitungan]]/3,PENGUKURAN_formulir[[#This Row],[Penghitungan]]/4),PENGUKURAN_formulir[[#This Row],[Penghitungan]]/4)</calculatedColumnFormula>
    </tableColumn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17000000}" name="Tabur" displayName="Tabur" ref="B4:X43" totalsRowShown="0" headerRowDxfId="544" dataDxfId="543">
  <autoFilter ref="B4:X43" xr:uid="{00000000-0009-0000-0100-000044000000}"/>
  <tableColumns count="23">
    <tableColumn id="2" xr3:uid="{00000000-0010-0000-1700-000002000000}" name="Kode" dataDxfId="542"/>
    <tableColumn id="3" xr3:uid="{00000000-0010-0000-1700-000003000000}" name="Uraian" dataDxfId="541"/>
    <tableColumn id="1" xr3:uid="{00000000-0010-0000-1700-000001000000}" name="Satuan" dataDxfId="540"/>
    <tableColumn id="4" xr3:uid="{00000000-0010-0000-1700-000004000000}" name="1TJ" dataDxfId="539"/>
    <tableColumn id="5" xr3:uid="{00000000-0010-0000-1700-000005000000}" name="1TK" dataDxfId="538"/>
    <tableColumn id="6" xr3:uid="{00000000-0010-0000-1700-000006000000}" name="1CJ" dataDxfId="537"/>
    <tableColumn id="7" xr3:uid="{00000000-0010-0000-1700-000007000000}" name="1CK" dataDxfId="536"/>
    <tableColumn id="8" xr3:uid="{00000000-0010-0000-1700-000008000000}" name="2TJ" dataDxfId="535"/>
    <tableColumn id="9" xr3:uid="{00000000-0010-0000-1700-000009000000}" name="2TK" dataDxfId="534"/>
    <tableColumn id="10" xr3:uid="{00000000-0010-0000-1700-00000A000000}" name="2CJ" dataDxfId="533"/>
    <tableColumn id="11" xr3:uid="{00000000-0010-0000-1700-00000B000000}" name="2CK" dataDxfId="532"/>
    <tableColumn id="12" xr3:uid="{00000000-0010-0000-1700-00000C000000}" name="12TJ" dataDxfId="531"/>
    <tableColumn id="13" xr3:uid="{00000000-0010-0000-1700-00000D000000}" name="12TK" dataDxfId="530"/>
    <tableColumn id="14" xr3:uid="{00000000-0010-0000-1700-00000E000000}" name="12CJ" dataDxfId="529"/>
    <tableColumn id="15" xr3:uid="{00000000-0010-0000-1700-00000F000000}" name="12CK" dataDxfId="528"/>
    <tableColumn id="23" xr3:uid="{00000000-0010-0000-1700-000017000000}" name="1TTJ" dataDxfId="527">
      <calculatedColumnFormula>Tabur[[#This Row],[1TJ]]+Tabur[[#This Row],[2TJ]]+Tabur[[#This Row],[12TJ]]</calculatedColumnFormula>
    </tableColumn>
    <tableColumn id="22" xr3:uid="{00000000-0010-0000-1700-000016000000}" name="1TTK" dataDxfId="526">
      <calculatedColumnFormula>Tabur[[#This Row],[1TK]]+Tabur[[#This Row],[2TK]]+Tabur[[#This Row],[12TK]]</calculatedColumnFormula>
    </tableColumn>
    <tableColumn id="21" xr3:uid="{00000000-0010-0000-1700-000015000000}" name="1TCJ" dataDxfId="525">
      <calculatedColumnFormula>Tabur[[#This Row],[1CJ]]+Tabur[[#This Row],[2CJ]]+Tabur[[#This Row],[12CJ]]</calculatedColumnFormula>
    </tableColumn>
    <tableColumn id="20" xr3:uid="{00000000-0010-0000-1700-000014000000}" name="1TCK" dataDxfId="524">
      <calculatedColumnFormula>Tabur[[#This Row],[1CK]]+Tabur[[#This Row],[2CK]]+Tabur[[#This Row],[12CK]]</calculatedColumnFormula>
    </tableColumn>
    <tableColumn id="16" xr3:uid="{00000000-0010-0000-1700-000010000000}" name="Durasi" dataDxfId="523">
      <calculatedColumnFormula>IF(OR(AND(Tabur[[#This Row],[1TJ]]&gt;0,Tabur[[#This Row],[2TJ]]&gt;0),Tabur[[#This Row],[12TJ]]&gt;0),12,IF(OR(Tabur[[#This Row],[1TJ]]&gt;0,Tabur[[#This Row],[2TJ]]&gt;0),6,0))</calculatedColumnFormula>
    </tableColumn>
    <tableColumn id="17" xr3:uid="{00000000-0010-0000-1700-000011000000}" name="DurasiSat" dataDxfId="522"/>
    <tableColumn id="18" xr3:uid="{00000000-0010-0000-1700-000012000000}" name="Kualitas" dataDxfId="521"/>
    <tableColumn id="19" xr3:uid="{00000000-0010-0000-1700-000013000000}" name="Biaya" dataDxfId="52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8000000}" name="TabTurJabKum_1A1" displayName="TabTurJabKum_1A1" ref="B3:C12" totalsRowShown="0" headerRowDxfId="519" dataDxfId="518">
  <autoFilter ref="B3:C12" xr:uid="{00000000-0009-0000-0100-000004000000}"/>
  <tableColumns count="2">
    <tableColumn id="1" xr3:uid="{00000000-0010-0000-1800-000001000000}" name="Jabatan" dataDxfId="517"/>
    <tableColumn id="2" xr3:uid="{00000000-0010-0000-1800-000002000000}" name="Kredit" dataDxfId="51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19000000}" name="TabTurDikKum_1A2" displayName="TabTurDikKum_1A2" ref="B20:C24" totalsRowShown="0" headerRowDxfId="515" dataDxfId="514">
  <autoFilter ref="B20:C24" xr:uid="{00000000-0009-0000-0100-000005000000}"/>
  <tableColumns count="2">
    <tableColumn id="1" xr3:uid="{00000000-0010-0000-1900-000001000000}" name="Pendidikan" dataDxfId="513"/>
    <tableColumn id="2" xr3:uid="{00000000-0010-0000-1900-000002000000}" name="Kredit" dataDxfId="512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1A000000}" name="TabTurBatasSks_2A2" displayName="TabTurBatasSks_2A2" ref="F15:H20" totalsRowShown="0" tableBorderDxfId="511">
  <autoFilter ref="F15:H20" xr:uid="{00000000-0009-0000-0100-000007000000}"/>
  <tableColumns count="3">
    <tableColumn id="1" xr3:uid="{00000000-0010-0000-1A00-000001000000}" name="Jabatan" dataDxfId="510"/>
    <tableColumn id="2" xr3:uid="{00000000-0010-0000-1A00-000002000000}" name="10SksPertama" dataDxfId="509"/>
    <tableColumn id="3" xr3:uid="{00000000-0010-0000-1A00-000003000000}" name="2SksBerikut" dataDxfId="508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1B000000}" name="TabTurKewenanganMengajar_2A1" displayName="TabTurKewenanganMengajar_2A1" ref="F3:K12" totalsRowShown="0" headerRowDxfId="507" dataDxfId="506">
  <autoFilter ref="F3:K12" xr:uid="{00000000-0009-0000-0100-000006000000}"/>
  <tableColumns count="6">
    <tableColumn id="1" xr3:uid="{00000000-0010-0000-1B00-000001000000}" name="Jabatan" dataDxfId="505"/>
    <tableColumn id="2" xr3:uid="{00000000-0010-0000-1B00-000002000000}" name="Pendidikan" dataDxfId="504"/>
    <tableColumn id="3" xr3:uid="{00000000-0010-0000-1B00-000003000000}" name="Diploma" dataDxfId="503"/>
    <tableColumn id="4" xr3:uid="{00000000-0010-0000-1B00-000004000000}" name="Sarjana" dataDxfId="502"/>
    <tableColumn id="5" xr3:uid="{00000000-0010-0000-1B00-000005000000}" name="Magister" dataDxfId="501"/>
    <tableColumn id="6" xr3:uid="{00000000-0010-0000-1B00-000006000000}" name="Doktoral" dataDxfId="500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1C000000}" name="TabTurKegiatan_1BC1" displayName="TabTurKegiatan_1BC1" ref="B15:D17" totalsRowShown="0" headerRowDxfId="499" dataDxfId="498">
  <autoFilter ref="B15:D17" xr:uid="{00000000-0009-0000-0100-00000D000000}"/>
  <tableColumns count="3">
    <tableColumn id="1" xr3:uid="{00000000-0010-0000-1C00-000001000000}" name="Kegiatan" dataDxfId="497"/>
    <tableColumn id="2" xr3:uid="{00000000-0010-0000-1C00-000002000000}" name="Kredit" dataDxfId="496"/>
    <tableColumn id="3" xr3:uid="{00000000-0010-0000-1C00-000003000000}" name="Batas" dataDxfId="495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D000000}" name="TabTurJumKeg_2DE1" displayName="TabTurJumKeg_2DE1" ref="F23:K32" totalsRowShown="0" headerRowDxfId="494" dataDxfId="493">
  <autoFilter ref="F23:K32" xr:uid="{00000000-0009-0000-0100-000015000000}"/>
  <tableColumns count="6">
    <tableColumn id="1" xr3:uid="{00000000-0010-0000-1D00-000001000000}" name="Jabatan" dataDxfId="492"/>
    <tableColumn id="2" xr3:uid="{00000000-0010-0000-1D00-000002000000}" name="Pendidikan" dataDxfId="491"/>
    <tableColumn id="3" xr3:uid="{00000000-0010-0000-1D00-000003000000}" name="Tugas Akhir" dataDxfId="490"/>
    <tableColumn id="4" xr3:uid="{00000000-0010-0000-1D00-000004000000}" name="Skripsi" dataDxfId="489"/>
    <tableColumn id="5" xr3:uid="{00000000-0010-0000-1D00-000005000000}" name="Tesis" dataDxfId="488"/>
    <tableColumn id="6" xr3:uid="{00000000-0010-0000-1D00-000006000000}" name="Desertasi" dataDxfId="487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E000000}" name="TabTurKreditPembimbing_2DE2" displayName="TabTurKreditPembimbing_2DE2" ref="F35:I43" totalsRowShown="0" headerRowDxfId="486" dataDxfId="485">
  <autoFilter ref="F35:I43" xr:uid="{00000000-0009-0000-0100-000016000000}"/>
  <tableColumns count="4">
    <tableColumn id="1" xr3:uid="{00000000-0010-0000-1E00-000001000000}" name="Bimbingan" dataDxfId="484"/>
    <tableColumn id="2" xr3:uid="{00000000-0010-0000-1E00-000002000000}" name="Pembimbing" dataDxfId="483"/>
    <tableColumn id="3" xr3:uid="{00000000-0010-0000-1E00-000003000000}" name="Kredit" dataDxfId="482"/>
    <tableColumn id="4" xr3:uid="{00000000-0010-0000-1E00-000004000000}" name="Maksimal" dataDxfId="481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F000000}" name="TabTurKreditPembimbing_2DE3" displayName="TabTurKreditPembimbing_2DE3" ref="F46:L64" totalsRowShown="0" headerRowDxfId="480" dataDxfId="478" headerRowBorderDxfId="479" tableBorderDxfId="477" totalsRowBorderDxfId="476">
  <autoFilter ref="F46:L64" xr:uid="{00000000-0009-0000-0100-000018000000}"/>
  <tableColumns count="7">
    <tableColumn id="1" xr3:uid="{00000000-0010-0000-1F00-000001000000}" name="Jabatan" dataDxfId="475"/>
    <tableColumn id="2" xr3:uid="{00000000-0010-0000-1F00-000002000000}" name="Pendidikan" dataDxfId="474"/>
    <tableColumn id="7" xr3:uid="{00000000-0010-0000-1F00-000007000000}" name="Pembimbing" dataDxfId="473"/>
    <tableColumn id="3" xr3:uid="{00000000-0010-0000-1F00-000003000000}" name="Tugas Akhir" dataDxfId="472"/>
    <tableColumn id="4" xr3:uid="{00000000-0010-0000-1F00-000004000000}" name="Skripsi" dataDxfId="471"/>
    <tableColumn id="5" xr3:uid="{00000000-0010-0000-1F00-000005000000}" name="Tesis" dataDxfId="470"/>
    <tableColumn id="6" xr3:uid="{00000000-0010-0000-1F00-000006000000}" name="Desertasi" dataDxfId="469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20000000}" name="TabTurPenguji_2DE4" displayName="TabTurPenguji_2DE4" ref="K35:M38" totalsRowShown="0" headerRowDxfId="468" dataDxfId="467">
  <autoFilter ref="K35:M38" xr:uid="{00000000-0009-0000-0100-000011000000}"/>
  <tableColumns count="3">
    <tableColumn id="1" xr3:uid="{00000000-0010-0000-2000-000001000000}" name="Penguji" dataDxfId="466"/>
    <tableColumn id="2" xr3:uid="{00000000-0010-0000-2000-000002000000}" name="Kredit" dataDxfId="465"/>
    <tableColumn id="3" xr3:uid="{00000000-0010-0000-2000-000003000000}" name="Maksimal" dataDxfId="464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21000000}" name="TabTur_2BCFGI" displayName="TabTur_2BCFGI" ref="B55:D60" totalsRowShown="0" headerRowDxfId="463" dataDxfId="462">
  <autoFilter ref="B55:D60" xr:uid="{00000000-0009-0000-0100-000013000000}"/>
  <tableColumns count="3">
    <tableColumn id="1" xr3:uid="{00000000-0010-0000-2100-000001000000}" name="Komponen" dataDxfId="461"/>
    <tableColumn id="2" xr3:uid="{00000000-0010-0000-2100-000002000000}" name="Kredit" dataDxfId="460"/>
    <tableColumn id="3" xr3:uid="{00000000-0010-0000-2100-000003000000}" name="Batas" dataDxfId="45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22000000}" name="TabTur_2H" displayName="TabTur_2H" ref="B63:D71" totalsRowShown="0" headerRowDxfId="458" dataDxfId="457">
  <autoFilter ref="B63:D71" xr:uid="{00000000-0009-0000-0100-000019000000}"/>
  <tableColumns count="3">
    <tableColumn id="1" xr3:uid="{00000000-0010-0000-2200-000001000000}" name="Komponen" dataDxfId="456"/>
    <tableColumn id="2" xr3:uid="{00000000-0010-0000-2200-000002000000}" name="Kredit" dataDxfId="455"/>
    <tableColumn id="3" xr3:uid="{00000000-0010-0000-2200-000003000000}" name="Batas" dataDxfId="454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3000000}" name="TabTur_2J" displayName="TabTur_2J" ref="B27:D52" totalsRowShown="0" headerRowDxfId="453" dataDxfId="452">
  <autoFilter ref="B27:D52" xr:uid="{00000000-0009-0000-0100-00001F000000}"/>
  <tableColumns count="3">
    <tableColumn id="1" xr3:uid="{00000000-0010-0000-2300-000001000000}" name="Struktural" dataDxfId="451">
      <calculatedColumnFormula>TabelUtama!L3</calculatedColumnFormula>
    </tableColumn>
    <tableColumn id="2" xr3:uid="{00000000-0010-0000-2300-000002000000}" name="Kredit" dataDxfId="450"/>
    <tableColumn id="3" xr3:uid="{00000000-0010-0000-2300-000003000000}" name="Batas" dataDxfId="449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4000000}" name="TabTur_2K" displayName="TabTur_2K" ref="F67:I71" totalsRowShown="0" headerRowDxfId="448" dataDxfId="447">
  <autoFilter ref="F67:I71" xr:uid="{00000000-0009-0000-0100-000027000000}"/>
  <tableColumns count="4">
    <tableColumn id="1" xr3:uid="{00000000-0010-0000-2400-000001000000}" name="Jabatan" dataDxfId="446"/>
    <tableColumn id="2" xr3:uid="{00000000-0010-0000-2400-000002000000}" name="Komponen" dataDxfId="445"/>
    <tableColumn id="3" xr3:uid="{00000000-0010-0000-2400-000003000000}" name="Kredit" dataDxfId="444"/>
    <tableColumn id="4" xr3:uid="{00000000-0010-0000-2400-000004000000}" name="Maksimal" dataDxfId="443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5000000}" name="TabTur_2L" displayName="TabTur_2L" ref="F74:I78" totalsRowShown="0" headerRowDxfId="442" dataDxfId="441">
  <autoFilter ref="F74:I78" xr:uid="{00000000-0009-0000-0100-000028000000}"/>
  <tableColumns count="4">
    <tableColumn id="1" xr3:uid="{00000000-0010-0000-2500-000001000000}" name="Jabatan" dataDxfId="440"/>
    <tableColumn id="2" xr3:uid="{00000000-0010-0000-2500-000002000000}" name="Komponen" dataDxfId="439"/>
    <tableColumn id="3" xr3:uid="{00000000-0010-0000-2500-000003000000}" name="Kredit" dataDxfId="438"/>
    <tableColumn id="4" xr3:uid="{00000000-0010-0000-2500-000004000000}" name="Maksimal" dataDxfId="437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6000000}" name="TabTur_2M" displayName="TabTur_2M" ref="B74:C82" totalsRowShown="0" headerRowDxfId="436" dataDxfId="435">
  <autoFilter ref="B74:C82" xr:uid="{00000000-0009-0000-0100-000026000000}"/>
  <tableColumns count="2">
    <tableColumn id="1" xr3:uid="{00000000-0010-0000-2600-000001000000}" name="Pelatihan" dataDxfId="434"/>
    <tableColumn id="2" xr3:uid="{00000000-0010-0000-2600-000002000000}" name="Kredit" dataDxfId="433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7000000}" name="TabTurTubel" displayName="TabTurTubel" ref="F82:L84" totalsRowShown="0" headerRowDxfId="432" dataDxfId="431">
  <autoFilter ref="F82:L84" xr:uid="{00000000-0009-0000-0100-00003F000000}"/>
  <tableColumns count="7">
    <tableColumn id="1" xr3:uid="{00000000-0010-0000-2700-000001000000}" name="Ambang" dataDxfId="430"/>
    <tableColumn id="2" xr3:uid="{00000000-0010-0000-2700-000002000000}" name="SkpAtas" dataDxfId="429"/>
    <tableColumn id="3" xr3:uid="{00000000-0010-0000-2700-000003000000}" name="SkpBawah" dataDxfId="428"/>
    <tableColumn id="6" xr3:uid="{00000000-0010-0000-2700-000006000000}" name="SkpInterval" dataDxfId="427">
      <calculatedColumnFormula>TabTurTubel[[#This Row],[SkpAtas]]-TabTurTubel[[#This Row],[SkpBawah]]</calculatedColumnFormula>
    </tableColumn>
    <tableColumn id="4" xr3:uid="{00000000-0010-0000-2700-000004000000}" name="IpAtas" dataDxfId="426"/>
    <tableColumn id="5" xr3:uid="{00000000-0010-0000-2700-000005000000}" name="IpBawah" dataDxfId="425"/>
    <tableColumn id="7" xr3:uid="{00000000-0010-0000-2700-000007000000}" name="IpInterval" dataDxfId="424">
      <calculatedColumnFormula>((TabTurTubel[[#This Row],[IpAtas]]-TabTurTubel[[#This Row],[IpBawah]])-0.01)*100</calculatedColumnFormula>
    </tableColumn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8000000}" name="TabTubelIsi" displayName="TabTubelIsi" ref="B6:I9" totalsRowShown="0" headerRowDxfId="423" dataDxfId="422">
  <autoFilter ref="B6:I9" xr:uid="{00000000-0009-0000-0100-000040000000}"/>
  <tableColumns count="8">
    <tableColumn id="1" xr3:uid="{00000000-0010-0000-2800-000001000000}" name="Semester" dataDxfId="421"/>
    <tableColumn id="2" xr3:uid="{00000000-0010-0000-2800-000002000000}" name="Ip" dataDxfId="420"/>
    <tableColumn id="3" xr3:uid="{00000000-0010-0000-2800-000003000000}" name="BaikAtasIp" dataDxfId="419">
      <calculatedColumnFormula array="1">SUMPRODUCT((TabTurTubel[Ambang]="Baik")*(TabTurTubel[IpAtas]))</calculatedColumnFormula>
    </tableColumn>
    <tableColumn id="4" xr3:uid="{00000000-0010-0000-2800-000004000000}" name="BaikBawahIp" dataDxfId="418">
      <calculatedColumnFormula array="1">SUMPRODUCT((TabTurTubel[Ambang]="Baik")*(TabTurTubel[IpBawah]))</calculatedColumnFormula>
    </tableColumn>
    <tableColumn id="5" xr3:uid="{00000000-0010-0000-2800-000005000000}" name="CukupBawahIp" dataDxfId="417">
      <calculatedColumnFormula array="1">SUMPRODUCT((TabTurTubel[Ambang]="Cukup")*(TabTurTubel[IpBawah]))</calculatedColumnFormula>
    </tableColumn>
    <tableColumn id="6" xr3:uid="{00000000-0010-0000-2800-000006000000}" name="BaikInterval" dataDxfId="416">
      <calculatedColumnFormula array="1">SUMPRODUCT((TabTurTubel[Ambang]="Baik")*((TabTurTubel[SkpInterval]/TabTurTubel[IpInterval])*100))</calculatedColumnFormula>
    </tableColumn>
    <tableColumn id="7" xr3:uid="{00000000-0010-0000-2800-000007000000}" name="CukupInterval" dataDxfId="415">
      <calculatedColumnFormula array="1">SUMPRODUCT((TabTurTubel[Ambang]="Cukup")*((TabTurTubel[SkpInterval]/TabTurTubel[IpInterval])*100))</calculatedColumnFormula>
    </tableColumn>
    <tableColumn id="8" xr3:uid="{00000000-0010-0000-2800-000008000000}" name="NilaiSKP" dataDxfId="414">
      <calculatedColumnFormula array="1">IF(TabTubelIsi[[#This Row],[Ip]]&lt;TabTubelIsi[[#This Row],[BaikBawahIp]],TabTubelIsi[[#This Row],[CukupInterval]]*(TabTubelIsi[[#This Row],[Ip]]-TabTubelIsi[[#This Row],[CukupBawahIp]]),76+(TabTubelIsi[[#This Row],[BaikInterval]]*(TabTubelIsi[[#This Row],[Ip]]-TabTubelIsi[[#This Row],[BaikBawahIp]])))</calculatedColumnFormula>
    </tableColumn>
  </tableColumns>
  <tableStyleInfo name="Table Style 3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9000000}" name="Tab2A" displayName="Tab2A" ref="B7:K13" totalsRowShown="0" headerRowDxfId="413" dataDxfId="411" headerRowBorderDxfId="412" tableBorderDxfId="410" totalsRowBorderDxfId="409">
  <autoFilter ref="B7:K13" xr:uid="{00000000-0009-0000-0100-000029000000}"/>
  <tableColumns count="10">
    <tableColumn id="1" xr3:uid="{00000000-0010-0000-2900-000001000000}" name="Col1" dataDxfId="408"/>
    <tableColumn id="2" xr3:uid="{00000000-0010-0000-2900-000002000000}" name="Col2" dataDxfId="407"/>
    <tableColumn id="3" xr3:uid="{00000000-0010-0000-2900-000003000000}" name="Col3" dataDxfId="406"/>
    <tableColumn id="4" xr3:uid="{00000000-0010-0000-2900-000004000000}" name="Col4" dataDxfId="405"/>
    <tableColumn id="5" xr3:uid="{00000000-0010-0000-2900-000005000000}" name="Col5" dataDxfId="404"/>
    <tableColumn id="6" xr3:uid="{00000000-0010-0000-2900-000006000000}" name="Col6" dataDxfId="403"/>
    <tableColumn id="7" xr3:uid="{00000000-0010-0000-2900-000007000000}" name="Col7" dataDxfId="402" dataCellStyle="Accent4">
      <calculatedColumnFormula>IF(AND(ISTEXT(Tab2A[[#This Row],[Col1]]),ISTEXT(Tab2A[[#This Row],[Col2]]),ISTEXT(Tab2A[[#This Row],[Col3]]),ISNUMBER(Tab2A[[#This Row],[Col4]]),ISNUMBER(Tab2A[[#This Row],[Col5]]),ISNUMBER(Tab2A[[#This Row],[Col6]])),(Tab2A[[#This Row],[Col4]]*Tab2A[[#This Row],[Col5]])/Tab2A[[#This Row],[Col6]],0)</calculatedColumnFormula>
    </tableColumn>
    <tableColumn id="8" xr3:uid="{00000000-0010-0000-2900-000008000000}" name="Col8" dataDxfId="401" dataCellStyle="Accent4">
      <calculatedColumnFormula>IF(Tab2A[[#This Row],[Col7]]&gt;0,1,0)</calculatedColumnFormula>
    </tableColumn>
    <tableColumn id="9" xr3:uid="{00000000-0010-0000-2900-000009000000}" name="Col9" dataDxfId="400" dataCellStyle="Accent4">
      <calculatedColumnFormula array="1">IFERROR(INDEX(TabTurKewenanganMengajar_2A1[[Diploma]:[Doktoral]],MATCH(1,(__pns_jabatan=TabTurKewenanganMengajar_2A1[Jabatan])*(__pns_pendidikan=TabTurKewenanganMengajar_2A1[Pendidikan]),0),MATCH(Tab2A[[#This Row],[Col2]],TabTurKewenanganMengajar_2A1[[#Headers],[Diploma]:[Doktoral]],0)),0)</calculatedColumnFormula>
    </tableColumn>
    <tableColumn id="10" xr3:uid="{00000000-0010-0000-2900-00000A000000}" name="Col10" dataDxfId="399"/>
  </tableColumns>
  <tableStyleInfo name="TableStyleMedium4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2A000000}" name="Tab2BC" displayName="Tab2BC" ref="B5:G10" totalsRowShown="0" headerRowDxfId="398" dataDxfId="396" headerRowBorderDxfId="397" tableBorderDxfId="395" totalsRowBorderDxfId="394">
  <autoFilter ref="B5:G10" xr:uid="{00000000-0009-0000-0100-00000A000000}"/>
  <tableColumns count="6">
    <tableColumn id="1" xr3:uid="{00000000-0010-0000-2A00-000001000000}" name="Semester" dataDxfId="393"/>
    <tableColumn id="4" xr3:uid="{00000000-0010-0000-2A00-000004000000}" name="Jenis Kegiatan" dataDxfId="392"/>
    <tableColumn id="3" xr3:uid="{00000000-0010-0000-2A00-000003000000}" name="Nama Mahasiswa (seminar) / Lokasi (praktik kerja)" dataDxfId="391"/>
    <tableColumn id="7" xr3:uid="{00000000-0010-0000-2A00-000007000000}" name="Jml Keg" dataDxfId="390">
      <calculatedColumnFormula>IF(AND(ISTEXT(Tab2BC[[#This Row],[Semester]]),ISTEXT(Tab2BC[[#This Row],[Jenis Kegiatan]]),ISTEXT(Tab2BC[[#This Row],[Nama Mahasiswa (seminar) / Lokasi (praktik kerja)]]))=TRUE,1,0)</calculatedColumnFormula>
    </tableColumn>
    <tableColumn id="6" xr3:uid="{00000000-0010-0000-2A00-000006000000}" name="Kredit" dataDxfId="389">
      <calculatedColumnFormula>IFERROR(IF(Tab2BC[[#This Row],[Jml Keg]]&gt;0,VLOOKUP(Tab2BC[[#This Row],[Jenis Kegiatan]],TabTurKegiatan_1BC1[],2,FALSE),0),0)</calculatedColumnFormula>
    </tableColumn>
    <tableColumn id="2" xr3:uid="{00000000-0010-0000-2A00-000002000000}" name="Terlaksana" dataDxfId="388">
      <calculatedColumnFormula>IF(Tab2BC[[#This Row],[Jml Keg]]&gt;0,VLOOKUP(Tab2BC[[#This Row],[Jenis Kegiatan]],TabTurKegiatan_1BC1[],2,FALSE),0)</calculatedColumnFormula>
    </tableColumn>
  </tableColumns>
  <tableStyleInfo name="TableStyleLight1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2B000000}" name="Tab2DE" displayName="Tab2DE" ref="B7:K13" totalsRowShown="0" headerRowDxfId="387" dataDxfId="386">
  <autoFilter ref="B7:K13" xr:uid="{00000000-0009-0000-0100-000014000000}"/>
  <tableColumns count="10">
    <tableColumn id="1" xr3:uid="{00000000-0010-0000-2B00-000001000000}" name="Col1" dataDxfId="385"/>
    <tableColumn id="2" xr3:uid="{00000000-0010-0000-2B00-000002000000}" name="Col2" dataDxfId="384"/>
    <tableColumn id="3" xr3:uid="{00000000-0010-0000-2B00-000003000000}" name="Col3" dataDxfId="383"/>
    <tableColumn id="4" xr3:uid="{00000000-0010-0000-2B00-000004000000}" name="Col4" dataDxfId="382"/>
    <tableColumn id="9" xr3:uid="{00000000-0010-0000-2B00-000009000000}" name="Col5" dataDxfId="381">
      <calculatedColumnFormula>IF(AND(ISTEXT(Tab2DE[[#This Row],[Col1]]),ISTEXT(Tab2DE[[#This Row],[Col2]]),ISTEXT(Tab2DE[[#This Row],[Col3]]),ISTEXT(Tab2DE[[#This Row],[Col4]])),1,0)</calculatedColumnFormula>
    </tableColumn>
    <tableColumn id="5" xr3:uid="{00000000-0010-0000-2B00-000005000000}" name="Col6" dataDxfId="380">
      <calculatedColumnFormula array="1">IFERROR(INDEX(TabTurKreditPembimbing_2DE3[[Tugas Akhir]:[Desertasi]],MATCH(1,(__pns_jabatan=TabTurKreditPembimbing_2DE3[Jabatan])*(__pns_pendidikan=TabTurKreditPembimbing_2DE3[Pendidikan])*(Tab2DE[[#This Row],[Col4]]=TabTurKreditPembimbing_2DE3[Pembimbing]),0),MATCH(Tab2DE[[#This Row],[Col3]],TabTurKreditPembimbing_2DE3[[#Headers],[Tugas Akhir]:[Desertasi]],0)),0)</calculatedColumnFormula>
    </tableColumn>
    <tableColumn id="6" xr3:uid="{00000000-0010-0000-2B00-000006000000}" name="Col7" dataDxfId="379"/>
    <tableColumn id="10" xr3:uid="{00000000-0010-0000-2B00-00000A000000}" name="Col8" dataDxfId="378">
      <calculatedColumnFormula>IF(AND(ISTEXT(Tab2DE[[#This Row],[Col7]]),ISTEXT(Tab2DE[[#This Row],[Col1]]),ISTEXT(Tab2DE[[#This Row],[Col2]])),1,0)</calculatedColumnFormula>
    </tableColumn>
    <tableColumn id="7" xr3:uid="{00000000-0010-0000-2B00-000007000000}" name="Col9" dataDxfId="377">
      <calculatedColumnFormula>IFERROR(IF(AND(ISTEXT(Tab2DE[[#This Row],[Col3]]),ISTEXT(Tab2DE[[#This Row],[Col4]])),0,VLOOKUP(Tab2DE[[#This Row],[Col7]],TabTurPenguji_2DE4[[Penguji]:[Kredit]],2,FALSE)),0)</calculatedColumnFormula>
    </tableColumn>
    <tableColumn id="8" xr3:uid="{00000000-0010-0000-2B00-000008000000}" name="Col10" dataDxfId="376"/>
  </tableColumns>
  <tableStyleInfo name="TableStyleLight1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2C000000}" name="Tab2F" displayName="Tab2F" ref="B6:F8" totalsRowShown="0" headerRowDxfId="375" dataDxfId="374" tableBorderDxfId="373">
  <autoFilter ref="B6:F8" xr:uid="{00000000-0009-0000-0100-000012000000}"/>
  <tableColumns count="5">
    <tableColumn id="1" xr3:uid="{00000000-0010-0000-2C00-000001000000}" name="Col1" dataDxfId="372"/>
    <tableColumn id="2" xr3:uid="{00000000-0010-0000-2C00-000002000000}" name="Col2" dataDxfId="371"/>
    <tableColumn id="3" xr3:uid="{00000000-0010-0000-2C00-000003000000}" name="Col3" dataDxfId="370">
      <calculatedColumnFormula>IF(AND(ISTEXT(Tab2F[[#This Row],[Col1]]),ISTEXT(Tab2F[[#This Row],[Col2]])),1,0)</calculatedColumnFormula>
    </tableColumn>
    <tableColumn id="4" xr3:uid="{00000000-0010-0000-2C00-000004000000}" name="Col4" dataDxfId="369">
      <calculatedColumnFormula>Tab2F[[#This Row],[Col3]]*VLOOKUP($A$1,TabTur_2BCFGI[[Komponen]:[Kredit]],2,FALSE)</calculatedColumnFormula>
    </tableColumn>
    <tableColumn id="5" xr3:uid="{00000000-0010-0000-2C00-000005000000}" name="Col5" dataDxfId="368"/>
  </tableColumns>
  <tableStyleInfo name="TableStyleMedium4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2D000000}" name="Tab2G" displayName="Tab2G" ref="B6:F8" totalsRowShown="0" headerRowDxfId="367" dataDxfId="366" tableBorderDxfId="365">
  <autoFilter ref="B6:F8" xr:uid="{00000000-0009-0000-0100-000017000000}"/>
  <tableColumns count="5">
    <tableColumn id="1" xr3:uid="{00000000-0010-0000-2D00-000001000000}" name="Col1" dataDxfId="364"/>
    <tableColumn id="2" xr3:uid="{00000000-0010-0000-2D00-000002000000}" name="Col2" dataDxfId="363"/>
    <tableColumn id="3" xr3:uid="{00000000-0010-0000-2D00-000003000000}" name="Col3" dataDxfId="362">
      <calculatedColumnFormula>IF(AND(ISTEXT(Tab2G[[#This Row],[Col1]]),ISTEXT(Tab2G[[#This Row],[Col2]])),1,0)</calculatedColumnFormula>
    </tableColumn>
    <tableColumn id="4" xr3:uid="{00000000-0010-0000-2D00-000004000000}" name="Col4" dataDxfId="361">
      <calculatedColumnFormula>Tab2G[[#This Row],[Col3]]*VLOOKUP($A$1,TabTur_2BCFGI[[Komponen]:[Kredit]],2,FALSE)</calculatedColumnFormula>
    </tableColumn>
    <tableColumn id="5" xr3:uid="{00000000-0010-0000-2D00-000005000000}" name="Col5" dataDxfId="360"/>
  </tableColumns>
  <tableStyleInfo name="TableStyleMedium4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E000000}" name="Tab2H" displayName="Tab2H" ref="B6:G8" totalsRowShown="0" headerRowDxfId="359" dataDxfId="358" tableBorderDxfId="357">
  <autoFilter ref="B6:G8" xr:uid="{00000000-0009-0000-0100-00001C000000}"/>
  <tableColumns count="6">
    <tableColumn id="1" xr3:uid="{00000000-0010-0000-2E00-000001000000}" name="Col1" dataDxfId="356"/>
    <tableColumn id="6" xr3:uid="{00000000-0010-0000-2E00-000006000000}" name="Col2" dataDxfId="355"/>
    <tableColumn id="2" xr3:uid="{00000000-0010-0000-2E00-000002000000}" name="Col3" dataDxfId="354"/>
    <tableColumn id="3" xr3:uid="{00000000-0010-0000-2E00-000003000000}" name="Col4" dataDxfId="353">
      <calculatedColumnFormula>IF(AND(ISTEXT(Tab2H[[#This Row],[Col1]]),ISTEXT(Tab2H[[#This Row],[Col3]]),ISTEXT(Tab2H[[#This Row],[Col2]])),1,0)</calculatedColumnFormula>
    </tableColumn>
    <tableColumn id="4" xr3:uid="{00000000-0010-0000-2E00-000004000000}" name="Col5" dataDxfId="352">
      <calculatedColumnFormula>IFERROR(Tab2H[[#This Row],[Col4]]*VLOOKUP(Tab2H[[#This Row],[Col2]],TabTur_2H[],2,FALSE),0)</calculatedColumnFormula>
    </tableColumn>
    <tableColumn id="5" xr3:uid="{00000000-0010-0000-2E00-000005000000}" name="Col6" dataDxfId="351"/>
  </tableColumns>
  <tableStyleInfo name="TableStyleMedium4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F000000}" name="Tab2I" displayName="Tab2I" ref="B6:F8" totalsRowShown="0" headerRowDxfId="350" dataDxfId="349" tableBorderDxfId="348">
  <autoFilter ref="B6:F8" xr:uid="{00000000-0009-0000-0100-00001B000000}"/>
  <tableColumns count="5">
    <tableColumn id="1" xr3:uid="{00000000-0010-0000-2F00-000001000000}" name="Col1" dataDxfId="347"/>
    <tableColumn id="2" xr3:uid="{00000000-0010-0000-2F00-000002000000}" name="Col2" dataDxfId="346"/>
    <tableColumn id="3" xr3:uid="{00000000-0010-0000-2F00-000003000000}" name="Col3" dataDxfId="345">
      <calculatedColumnFormula>IF(AND(ISTEXT(Tab2I[[#This Row],[Col1]]),ISTEXT(Tab2I[[#This Row],[Col2]])),1,0)</calculatedColumnFormula>
    </tableColumn>
    <tableColumn id="4" xr3:uid="{00000000-0010-0000-2F00-000004000000}" name="Col4" dataDxfId="344">
      <calculatedColumnFormula>Tab2I[[#This Row],[Col3]]*VLOOKUP($A$1,TabTur_2BCFGI[[Komponen]:[Kredit]],2,FALSE)</calculatedColumnFormula>
    </tableColumn>
    <tableColumn id="5" xr3:uid="{00000000-0010-0000-2F00-000005000000}" name="Col5" dataDxfId="343"/>
  </tableColumns>
  <tableStyleInfo name="TableStyleMedium4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30000000}" name="Tab2J" displayName="Tab2J" ref="B6:G8" totalsRowShown="0" headerRowDxfId="342" dataDxfId="341" tableBorderDxfId="340">
  <autoFilter ref="B6:G8" xr:uid="{00000000-0009-0000-0100-000020000000}"/>
  <tableColumns count="6">
    <tableColumn id="1" xr3:uid="{00000000-0010-0000-3000-000001000000}" name="Col1" dataDxfId="339"/>
    <tableColumn id="6" xr3:uid="{00000000-0010-0000-3000-000006000000}" name="Col2" dataDxfId="338"/>
    <tableColumn id="2" xr3:uid="{00000000-0010-0000-3000-000002000000}" name="Col3" dataDxfId="337"/>
    <tableColumn id="3" xr3:uid="{00000000-0010-0000-3000-000003000000}" name="Col4" dataDxfId="336">
      <calculatedColumnFormula>IF(AND(ISTEXT(Tab2J[[#This Row],[Col1]]),ISTEXT(Tab2J[[#This Row],[Col3]]),ISTEXT(Tab2J[[#This Row],[Col2]])),1,0)</calculatedColumnFormula>
    </tableColumn>
    <tableColumn id="4" xr3:uid="{00000000-0010-0000-3000-000004000000}" name="Col5" dataDxfId="335">
      <calculatedColumnFormula>IFERROR(Tab2J[[#This Row],[Col4]]*VLOOKUP(Tab2J[[#This Row],[Col2]],TabTur_2J[],2,FALSE),0)</calculatedColumnFormula>
    </tableColumn>
    <tableColumn id="5" xr3:uid="{00000000-0010-0000-3000-000005000000}" name="Col6" dataDxfId="334"/>
  </tableColumns>
  <tableStyleInfo name="TableStyleMedium4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1000000}" name="Tab2JStruktural" displayName="Tab2JStruktural" ref="I15:M40" totalsRowShown="0" headerRowDxfId="333" dataDxfId="331" headerRowBorderDxfId="332" tableBorderDxfId="330" totalsRowBorderDxfId="329">
  <autoFilter ref="I15:M40" xr:uid="{00000000-0009-0000-0100-000046000000}"/>
  <tableColumns count="5">
    <tableColumn id="1" xr3:uid="{00000000-0010-0000-3100-000001000000}" name="Struktural" dataDxfId="328">
      <calculatedColumnFormula>TabelTurunan!B28</calculatedColumnFormula>
    </tableColumn>
    <tableColumn id="2" xr3:uid="{00000000-0010-0000-3100-000002000000}" name="J" dataDxfId="327">
      <calculatedColumnFormula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calculatedColumnFormula>
    </tableColumn>
    <tableColumn id="3" xr3:uid="{00000000-0010-0000-3100-000003000000}" name="Ak" dataDxfId="326">
      <calculatedColumnFormula>Tab2JStruktural[[#This Row],[J]]*VLOOKUP(Tab2JStruktural[[#This Row],[Struktural]],TabTur_2J[],2,FALSE)</calculatedColumnFormula>
    </tableColumn>
    <tableColumn id="4" xr3:uid="{00000000-0010-0000-3100-000004000000}" name="J2" dataDxfId="325">
      <calculatedColumnFormula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calculatedColumnFormula>
    </tableColumn>
    <tableColumn id="5" xr3:uid="{00000000-0010-0000-3100-000005000000}" name="Ak2" dataDxfId="324">
      <calculatedColumnFormula>Tab2JStruktural[[#This Row],[J2]]*VLOOKUP(Tab2JStruktural[[#This Row],[Struktural]],TabTur_2J[],2,FALSE)</calculatedColumnFormula>
    </tableColumn>
  </tableColumns>
  <tableStyleInfo name="TableStyleLight10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32000000}" name="Tab2K" displayName="Tab2K" ref="B6:G8" totalsRowShown="0" headerRowDxfId="323" dataDxfId="322" tableBorderDxfId="321">
  <autoFilter ref="B6:G8" xr:uid="{00000000-0009-0000-0100-000021000000}"/>
  <tableColumns count="6">
    <tableColumn id="1" xr3:uid="{00000000-0010-0000-3200-000001000000}" name="Col1" dataDxfId="320"/>
    <tableColumn id="6" xr3:uid="{00000000-0010-0000-3200-000006000000}" name="Col2" dataDxfId="319"/>
    <tableColumn id="2" xr3:uid="{00000000-0010-0000-3200-000002000000}" name="Col3" dataDxfId="318"/>
    <tableColumn id="3" xr3:uid="{00000000-0010-0000-3200-000003000000}" name="Col4" dataDxfId="317">
      <calculatedColumnFormula>IF(AND(ISTEXT(Tab2K[[#This Row],[Col1]]),ISTEXT(Tab2K[[#This Row],[Col3]]),ISTEXT(Tab2K[[#This Row],[Col2]])),1,0)</calculatedColumnFormula>
    </tableColumn>
    <tableColumn id="4" xr3:uid="{00000000-0010-0000-3200-000004000000}" name="Col5" dataDxfId="316">
      <calculatedColumnFormula array="1">IFERROR(Tab2K[[#This Row],[Col4]]*INDEX(TabTur_2K[Kredit],MATCH(1,(__pns_jabatan=TabTur_2K[Jabatan])*(Tab2K[[#This Row],[Col2]]=TabTur_2K[Komponen]),0),1),0)</calculatedColumnFormula>
    </tableColumn>
    <tableColumn id="5" xr3:uid="{00000000-0010-0000-3200-000005000000}" name="Col6" dataDxfId="315"/>
  </tableColumns>
  <tableStyleInfo name="TableStyleMedium4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33000000}" name="Tab2L" displayName="Tab2L" ref="B6:G8" totalsRowShown="0" headerRowDxfId="314" dataDxfId="313" tableBorderDxfId="312">
  <autoFilter ref="B6:G8" xr:uid="{00000000-0009-0000-0100-000024000000}"/>
  <tableColumns count="6">
    <tableColumn id="1" xr3:uid="{00000000-0010-0000-3300-000001000000}" name="Col1" dataDxfId="311"/>
    <tableColumn id="6" xr3:uid="{00000000-0010-0000-3300-000006000000}" name="Col2" dataDxfId="310"/>
    <tableColumn id="2" xr3:uid="{00000000-0010-0000-3300-000002000000}" name="Col3" dataDxfId="309"/>
    <tableColumn id="3" xr3:uid="{00000000-0010-0000-3300-000003000000}" name="Col4" dataDxfId="308">
      <calculatedColumnFormula>IF(AND(ISTEXT(Tab2L[[#This Row],[Col1]]),ISTEXT(Tab2L[[#This Row],[Col3]]),ISTEXT(Tab2L[[#This Row],[Col2]])),1,0)</calculatedColumnFormula>
    </tableColumn>
    <tableColumn id="4" xr3:uid="{00000000-0010-0000-3300-000004000000}" name="Col5" dataDxfId="307">
      <calculatedColumnFormula array="1">IFERROR(Tab2L[[#This Row],[Col4]]*INDEX(TabTur_2L[Kredit],MATCH(1,(__pns_jabatan=TabTur_2L[Jabatan])*(Tab2L[[#This Row],[Col2]]=TabTur_2L[Komponen]),0),1),0)</calculatedColumnFormula>
    </tableColumn>
    <tableColumn id="5" xr3:uid="{00000000-0010-0000-3300-000005000000}" name="Col6" dataDxfId="306"/>
  </tableColumns>
  <tableStyleInfo name="TableStyleMedium4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34000000}" name="Tab2M" displayName="Tab2M" ref="B6:G8" totalsRowShown="0" headerRowDxfId="305" dataDxfId="304" tableBorderDxfId="303">
  <autoFilter ref="B6:G8" xr:uid="{00000000-0009-0000-0100-000025000000}"/>
  <tableColumns count="6">
    <tableColumn id="1" xr3:uid="{00000000-0010-0000-3400-000001000000}" name="Col1" dataDxfId="302"/>
    <tableColumn id="6" xr3:uid="{00000000-0010-0000-3400-000006000000}" name="Col2" dataDxfId="301"/>
    <tableColumn id="2" xr3:uid="{00000000-0010-0000-3400-000002000000}" name="Col3" dataDxfId="300"/>
    <tableColumn id="3" xr3:uid="{00000000-0010-0000-3400-000003000000}" name="Col4" dataDxfId="299">
      <calculatedColumnFormula>IF(AND(ISTEXT(Tab2M[[#This Row],[Col1]]),ISNUMBER(Tab2M[[#This Row],[Col3]]),ISTEXT(Tab2M[[#This Row],[Col2]])),1,0)</calculatedColumnFormula>
    </tableColumn>
    <tableColumn id="4" xr3:uid="{00000000-0010-0000-3400-000004000000}" name="Col5" dataDxfId="298">
      <calculatedColumnFormula>IFERROR(Tab2M[[#This Row],[Col4]]*VLOOKUP(Tab2M[[#This Row],[Col3]],TabTur_2M[],2,TRUE),0)</calculatedColumnFormula>
    </tableColumn>
    <tableColumn id="5" xr3:uid="{00000000-0010-0000-3400-000005000000}" name="Col6" dataDxfId="297"/>
  </tableColumns>
  <tableStyleInfo name="TableStyleMedium4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35000000}" name="Tab3A" displayName="Tab3A" ref="B6:K10" totalsRowShown="0" headerRowDxfId="296" dataDxfId="294" headerRowBorderDxfId="295" tableBorderDxfId="293" totalsRowBorderDxfId="292">
  <autoFilter ref="B6:K10" xr:uid="{00000000-0009-0000-0100-00002D000000}"/>
  <tableColumns count="10">
    <tableColumn id="1" xr3:uid="{00000000-0010-0000-3500-000001000000}" name="Col1" dataDxfId="291"/>
    <tableColumn id="2" xr3:uid="{00000000-0010-0000-3500-000002000000}" name="Col2" dataDxfId="290"/>
    <tableColumn id="3" xr3:uid="{00000000-0010-0000-3500-000003000000}" name="Col3" dataDxfId="289">
      <calculatedColumnFormula array="1">INDEX(TabTur3[Column3],MATCH('III.A.'!C7,TabTur3[Column4],0),1)</calculatedColumnFormula>
    </tableColumn>
    <tableColumn id="4" xr3:uid="{00000000-0010-0000-3500-000004000000}" name="Col4" dataDxfId="288"/>
    <tableColumn id="5" xr3:uid="{00000000-0010-0000-3500-000005000000}" name="Col5" dataDxfId="287">
      <calculatedColumnFormula array="1">INDEX(TabTur3Sub[Column3],MATCH(1,('III.A.'!D7=TabTur3Sub[Column1])*('III.A.'!E7=TabTur3Sub[Column4]),0),1)</calculatedColumnFormula>
    </tableColumn>
    <tableColumn id="6" xr3:uid="{00000000-0010-0000-3500-000006000000}" name="Col6" dataDxfId="286"/>
    <tableColumn id="7" xr3:uid="{00000000-0010-0000-3500-000007000000}" name="Col7" dataDxfId="285">
      <calculatedColumnFormula>IF(AND(ISTEXT(Tab3A[[#This Row],[Col1]]),ISTEXT(Tab3A[[#This Row],[Col2]]),ISTEXT(Tab3A[[#This Row],[Col4]]),ISTEXT(Tab3A[[#This Row],[Col6]])),1,0)</calculatedColumnFormula>
    </tableColumn>
    <tableColumn id="8" xr3:uid="{00000000-0010-0000-3500-000008000000}" name="Col8" dataDxfId="284">
      <calculatedColumnFormula>IFERROR(Tab3A[[#This Row],[Col7]]*VLOOKUP(Tab3A[[#This Row],[Col5]],TabTur3Sub[[Column3]:[Column5]],3,FALSE),0)</calculatedColumnFormula>
    </tableColumn>
    <tableColumn id="9" xr3:uid="{00000000-0010-0000-3500-000009000000}" name="Col9" dataDxfId="283"/>
    <tableColumn id="10" xr3:uid="{00000000-0010-0000-3500-00000A000000}" name="Col10" dataDxfId="282"/>
  </tableColumns>
  <tableStyleInfo name="TableStyleMedium4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36000000}" name="Tab3B" displayName="Tab3B" ref="B6:K8" totalsRowShown="0" headerRowDxfId="281" dataDxfId="279" headerRowBorderDxfId="280" tableBorderDxfId="278" totalsRowBorderDxfId="277">
  <autoFilter ref="B6:K8" xr:uid="{00000000-0009-0000-0100-00002E000000}"/>
  <tableColumns count="10">
    <tableColumn id="1" xr3:uid="{00000000-0010-0000-3600-000001000000}" name="Col1" dataDxfId="276"/>
    <tableColumn id="2" xr3:uid="{00000000-0010-0000-3600-000002000000}" name="Col2" dataDxfId="275"/>
    <tableColumn id="3" xr3:uid="{00000000-0010-0000-3600-000003000000}" name="Col3" dataDxfId="274">
      <calculatedColumnFormula>INDEX(TabTur3[Column3],MATCH('III.B.'!C7,TabTur3[Column4],0),1)</calculatedColumnFormula>
    </tableColumn>
    <tableColumn id="4" xr3:uid="{00000000-0010-0000-3600-000004000000}" name="Col4" dataDxfId="273"/>
    <tableColumn id="5" xr3:uid="{00000000-0010-0000-3600-000005000000}" name="Col5" dataDxfId="272">
      <calculatedColumnFormula array="1">INDEX(TabTur3Sub[Column3],MATCH(1,('III.B.'!D7=TabTur3Sub[Column1])*('III.B.'!E7=TabTur3Sub[Column4]),0),1)</calculatedColumnFormula>
    </tableColumn>
    <tableColumn id="6" xr3:uid="{00000000-0010-0000-3600-000006000000}" name="Col6" dataDxfId="271"/>
    <tableColumn id="7" xr3:uid="{00000000-0010-0000-3600-000007000000}" name="Col7" dataDxfId="270">
      <calculatedColumnFormula>IF(AND(ISTEXT(Tab3B[[#This Row],[Col1]]),ISTEXT(Tab3B[[#This Row],[Col2]]),ISTEXT(Tab3B[[#This Row],[Col4]]),ISTEXT(Tab3B[[#This Row],[Col6]])),1,0)</calculatedColumnFormula>
    </tableColumn>
    <tableColumn id="8" xr3:uid="{00000000-0010-0000-3600-000008000000}" name="Col8" dataDxfId="269">
      <calculatedColumnFormula>IFERROR(Tab3B[[#This Row],[Col7]]*VLOOKUP(Tab3B[[#This Row],[Col5]],TabTur3Sub[[Column3]:[Column5]],3,FALSE),0)</calculatedColumnFormula>
    </tableColumn>
    <tableColumn id="9" xr3:uid="{00000000-0010-0000-3600-000009000000}" name="Col9" dataDxfId="268"/>
    <tableColumn id="10" xr3:uid="{00000000-0010-0000-3600-00000A000000}" name="Col10" dataDxfId="267"/>
  </tableColumns>
  <tableStyleInfo name="TableStyleMedium4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37000000}" name="Tab3CDE" displayName="Tab3CDE" ref="B6:I8" totalsRowShown="0" headerRowDxfId="266" dataDxfId="264" headerRowBorderDxfId="265" tableBorderDxfId="263" totalsRowBorderDxfId="262">
  <autoFilter ref="B6:I8" xr:uid="{00000000-0009-0000-0100-000008000000}"/>
  <tableColumns count="8">
    <tableColumn id="1" xr3:uid="{00000000-0010-0000-3700-000001000000}" name="Col1" dataDxfId="261"/>
    <tableColumn id="2" xr3:uid="{00000000-0010-0000-3700-000002000000}" name="Col2" dataDxfId="260"/>
    <tableColumn id="3" xr3:uid="{00000000-0010-0000-3700-000003000000}" name="Col3" dataDxfId="259">
      <calculatedColumnFormula>IFERROR(INDEX(TabTur3[Column3],MATCH('III.CDE.'!C7,TabTur3[Column4],0),1),"")</calculatedColumnFormula>
    </tableColumn>
    <tableColumn id="6" xr3:uid="{00000000-0010-0000-3700-000006000000}" name="Col4" dataDxfId="258"/>
    <tableColumn id="7" xr3:uid="{00000000-0010-0000-3700-000007000000}" name="Col5" dataDxfId="257">
      <calculatedColumnFormula>IF(AND(ISTEXT(Tab3CDE[[#This Row],[Col1]]),ISTEXT(Tab3CDE[[#This Row],[Col2]]),ISTEXT(Tab3CDE[[#This Row],[Col4]])),1,0)</calculatedColumnFormula>
    </tableColumn>
    <tableColumn id="8" xr3:uid="{00000000-0010-0000-3700-000008000000}" name="Col6" dataDxfId="256">
      <calculatedColumnFormula>IFERROR(Tab3CDE[[#This Row],[Col5]]*VLOOKUP(Tab3CDE[[#This Row],[Col3]],TabTur3Sub[],5,FALSE),0)</calculatedColumnFormula>
    </tableColumn>
    <tableColumn id="9" xr3:uid="{00000000-0010-0000-3700-000009000000}" name="Col7" dataDxfId="255"/>
    <tableColumn id="10" xr3:uid="{00000000-0010-0000-3700-00000A000000}" name="Col8" dataDxfId="254"/>
  </tableColumns>
  <tableStyleInfo name="TableStyleMedium4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38000000}" name="Tab3F" displayName="Tab3F" ref="B6:I8" totalsRowShown="0" headerRowDxfId="253" dataDxfId="251" headerRowBorderDxfId="252" tableBorderDxfId="250" totalsRowBorderDxfId="249">
  <autoFilter ref="B6:I8" xr:uid="{00000000-0009-0000-0100-000009000000}"/>
  <tableColumns count="8">
    <tableColumn id="1" xr3:uid="{00000000-0010-0000-3800-000001000000}" name="Col1" dataDxfId="248"/>
    <tableColumn id="2" xr3:uid="{00000000-0010-0000-3800-000002000000}" name="Col2" dataDxfId="247"/>
    <tableColumn id="3" xr3:uid="{00000000-0010-0000-3800-000003000000}" name="Col3" dataDxfId="246">
      <calculatedColumnFormula>INDEX(TabTur3[Column3],MATCH('III.F.'!C7,TabTur3[Column4],0),1)</calculatedColumnFormula>
    </tableColumn>
    <tableColumn id="6" xr3:uid="{00000000-0010-0000-3800-000006000000}" name="Col4" dataDxfId="245"/>
    <tableColumn id="7" xr3:uid="{00000000-0010-0000-3800-000007000000}" name="Col5" dataDxfId="244">
      <calculatedColumnFormula>IF(AND(ISTEXT(Tab3F[[#This Row],[Col1]]),ISTEXT(Tab3F[[#This Row],[Col2]]),ISTEXT(Tab3F[[#This Row],[Col4]])),1,0)</calculatedColumnFormula>
    </tableColumn>
    <tableColumn id="8" xr3:uid="{00000000-0010-0000-3800-000008000000}" name="Col6" dataDxfId="243">
      <calculatedColumnFormula>IFERROR(Tab3F[[#This Row],[Col5]]*VLOOKUP(Tab3F[[#This Row],[Col3]],TabTur3Sub[[Column1]:[Column5]],5,FALSE),0)</calculatedColumnFormula>
    </tableColumn>
    <tableColumn id="9" xr3:uid="{00000000-0010-0000-3800-000009000000}" name="Col7" dataDxfId="242"/>
    <tableColumn id="10" xr3:uid="{00000000-0010-0000-3800-00000A000000}" name="Col8" dataDxfId="241"/>
  </tableColumns>
  <tableStyleInfo name="TableStyleMedium4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39000000}" name="Tab3G" displayName="Tab3G" ref="B6:I8" totalsRowShown="0" headerRowDxfId="240" dataDxfId="238" headerRowBorderDxfId="239" tableBorderDxfId="237" totalsRowBorderDxfId="236">
  <autoFilter ref="B6:I8" xr:uid="{00000000-0009-0000-0100-00002C000000}"/>
  <tableColumns count="8">
    <tableColumn id="1" xr3:uid="{00000000-0010-0000-3900-000001000000}" name="Col1" dataDxfId="235"/>
    <tableColumn id="2" xr3:uid="{00000000-0010-0000-3900-000002000000}" name="Col2" dataDxfId="234"/>
    <tableColumn id="3" xr3:uid="{00000000-0010-0000-3900-000003000000}" name="Col3" dataDxfId="233">
      <calculatedColumnFormula>INDEX(TabTur3[Column3],MATCH('III.G.'!C7,TabTur3[Column4],0),1)</calculatedColumnFormula>
    </tableColumn>
    <tableColumn id="6" xr3:uid="{00000000-0010-0000-3900-000006000000}" name="Col4" dataDxfId="232"/>
    <tableColumn id="7" xr3:uid="{00000000-0010-0000-3900-000007000000}" name="Col5" dataDxfId="231">
      <calculatedColumnFormula>IF(AND(ISTEXT(Tab3G[[#This Row],[Col1]]),ISTEXT(Tab3G[[#This Row],[Col2]]),ISTEXT(Tab3G[[#This Row],[Col4]])),1,0)</calculatedColumnFormula>
    </tableColumn>
    <tableColumn id="8" xr3:uid="{00000000-0010-0000-3900-000008000000}" name="Col6" dataDxfId="230">
      <calculatedColumnFormula>IFERROR(Tab3G[[#This Row],[Col5]]*VLOOKUP(Tab3G[[#This Row],[Col3]],TabTur3Sub[[Column1]:[Column5]],5,FALSE),0)</calculatedColumnFormula>
    </tableColumn>
    <tableColumn id="9" xr3:uid="{00000000-0010-0000-3900-000009000000}" name="Col7" dataDxfId="229"/>
    <tableColumn id="10" xr3:uid="{00000000-0010-0000-3900-00000A000000}" name="Col8" dataDxfId="228"/>
  </tableColumns>
  <tableStyleInfo name="TableStyleMedium4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3A000000}" name="Tab3H" displayName="Tab3H" ref="B6:K8" totalsRowShown="0" headerRowDxfId="227" dataDxfId="225" headerRowBorderDxfId="226" tableBorderDxfId="224" totalsRowBorderDxfId="223">
  <autoFilter ref="B6:K8" xr:uid="{00000000-0009-0000-0100-00002F000000}"/>
  <tableColumns count="10">
    <tableColumn id="1" xr3:uid="{00000000-0010-0000-3A00-000001000000}" name="Col1" dataDxfId="222"/>
    <tableColumn id="2" xr3:uid="{00000000-0010-0000-3A00-000002000000}" name="Col2" dataDxfId="221"/>
    <tableColumn id="3" xr3:uid="{00000000-0010-0000-3A00-000003000000}" name="Col3" dataDxfId="220">
      <calculatedColumnFormula>INDEX(TabTur3[Column3],MATCH('III.H.'!C7,TabTur3[Column4],0),1)</calculatedColumnFormula>
    </tableColumn>
    <tableColumn id="4" xr3:uid="{00000000-0010-0000-3A00-000004000000}" name="Col4" dataDxfId="219"/>
    <tableColumn id="5" xr3:uid="{00000000-0010-0000-3A00-000005000000}" name="Col5" dataDxfId="218">
      <calculatedColumnFormula array="1">INDEX(TabTur3Sub[Column3],MATCH(1,('III.H.'!D7=TabTur3Sub[Column1])*('III.H.'!E7=TabTur3Sub[Column4]),0),1)</calculatedColumnFormula>
    </tableColumn>
    <tableColumn id="6" xr3:uid="{00000000-0010-0000-3A00-000006000000}" name="Col6" dataDxfId="217"/>
    <tableColumn id="7" xr3:uid="{00000000-0010-0000-3A00-000007000000}" name="Col7" dataDxfId="216">
      <calculatedColumnFormula>IF(AND(ISTEXT(Tab3H[[#This Row],[Col1]]),ISTEXT(Tab3H[[#This Row],[Col2]]),ISTEXT(Tab3H[[#This Row],[Col4]]),ISTEXT(Tab3H[[#This Row],[Col6]])),1,0)</calculatedColumnFormula>
    </tableColumn>
    <tableColumn id="8" xr3:uid="{00000000-0010-0000-3A00-000008000000}" name="Col8" dataDxfId="215">
      <calculatedColumnFormula>IFERROR(Tab3H[[#This Row],[Col7]]*VLOOKUP(Tab3H[[#This Row],[Col5]],TabTur3Sub[[Column3]:[Column5]],3,FALSE),0)</calculatedColumnFormula>
    </tableColumn>
    <tableColumn id="9" xr3:uid="{00000000-0010-0000-3A00-000009000000}" name="Col9" dataDxfId="214"/>
    <tableColumn id="10" xr3:uid="{00000000-0010-0000-3A00-00000A000000}" name="Col10" dataDxfId="213"/>
  </tableColumns>
  <tableStyleInfo name="TableStyleMedium4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3B000000}" name="Tab3I" displayName="Tab3I" ref="B6:K8" totalsRowShown="0" headerRowDxfId="212" dataDxfId="210" headerRowBorderDxfId="211" tableBorderDxfId="209" totalsRowBorderDxfId="208">
  <autoFilter ref="B6:K8" xr:uid="{00000000-0009-0000-0100-000030000000}"/>
  <tableColumns count="10">
    <tableColumn id="1" xr3:uid="{00000000-0010-0000-3B00-000001000000}" name="Col1" dataDxfId="207"/>
    <tableColumn id="2" xr3:uid="{00000000-0010-0000-3B00-000002000000}" name="Col2" dataDxfId="206"/>
    <tableColumn id="3" xr3:uid="{00000000-0010-0000-3B00-000003000000}" name="Col3" dataDxfId="205">
      <calculatedColumnFormula>INDEX(TabTur3[Column3],MATCH('III.I.'!C7,TabTur3[Column4],0),1)</calculatedColumnFormula>
    </tableColumn>
    <tableColumn id="4" xr3:uid="{00000000-0010-0000-3B00-000004000000}" name="Col4" dataDxfId="204"/>
    <tableColumn id="5" xr3:uid="{00000000-0010-0000-3B00-000005000000}" name="Col5" dataDxfId="203">
      <calculatedColumnFormula array="1">INDEX(TabTur3Sub[Column3],MATCH(1,('III.I.'!D7=TabTur3Sub[Column1])*('III.I.'!E7=TabTur3Sub[Column4]),0),1)</calculatedColumnFormula>
    </tableColumn>
    <tableColumn id="6" xr3:uid="{00000000-0010-0000-3B00-000006000000}" name="Col6" dataDxfId="202"/>
    <tableColumn id="7" xr3:uid="{00000000-0010-0000-3B00-000007000000}" name="Col7" dataDxfId="201">
      <calculatedColumnFormula>IF(AND(ISTEXT(Tab3I[[#This Row],[Col1]]),ISTEXT(Tab3I[[#This Row],[Col2]]),ISTEXT(Tab3I[[#This Row],[Col4]]),ISTEXT(Tab3I[[#This Row],[Col6]])),1,0)</calculatedColumnFormula>
    </tableColumn>
    <tableColumn id="8" xr3:uid="{00000000-0010-0000-3B00-000008000000}" name="Col8" dataDxfId="200">
      <calculatedColumnFormula>IFERROR(Tab3I[[#This Row],[Col7]]*VLOOKUP(Tab3I[[#This Row],[Col5]],TabTur3Sub[[Column3]:[Column5]],3,FALSE),0)</calculatedColumnFormula>
    </tableColumn>
    <tableColumn id="9" xr3:uid="{00000000-0010-0000-3B00-000009000000}" name="Col9" dataDxfId="199"/>
    <tableColumn id="10" xr3:uid="{00000000-0010-0000-3B00-00000A000000}" name="Col10" dataDxfId="198"/>
  </tableColumns>
  <tableStyleInfo name="TableStyleMedium4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C000000}" name="Tab4A" displayName="Tab4A" ref="B6:F8" totalsRowShown="0" headerRowDxfId="197" dataDxfId="196" tableBorderDxfId="195">
  <autoFilter ref="B6:F8" xr:uid="{00000000-0009-0000-0100-000035000000}"/>
  <tableColumns count="5">
    <tableColumn id="1" xr3:uid="{00000000-0010-0000-3C00-000001000000}" name="Col1" dataDxfId="194"/>
    <tableColumn id="2" xr3:uid="{00000000-0010-0000-3C00-000002000000}" name="Col2" dataDxfId="193"/>
    <tableColumn id="3" xr3:uid="{00000000-0010-0000-3C00-000003000000}" name="Col3" dataDxfId="192">
      <calculatedColumnFormula>IF(AND(ISTEXT(Tab4A[[#This Row],[Col1]]),ISTEXT(Tab4A[[#This Row],[Col2]])),1,0)</calculatedColumnFormula>
    </tableColumn>
    <tableColumn id="4" xr3:uid="{00000000-0010-0000-3C00-000004000000}" name="Col4" dataDxfId="191">
      <calculatedColumnFormula>Tab4A[[#This Row],[Col3]]*VLOOKUP(VLOOKUP(A$1,TabRef3[],3,FALSE),TabRef4[],5,FALSE)</calculatedColumnFormula>
    </tableColumn>
    <tableColumn id="5" xr3:uid="{00000000-0010-0000-3C00-000005000000}" name="Col5" dataDxfId="190"/>
  </tableColumns>
  <tableStyleInfo name="TableStyleMedium4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D000000}" name="Tab4B" displayName="Tab4B" ref="B6:F8" totalsRowShown="0" headerRowDxfId="189" dataDxfId="188" tableBorderDxfId="187">
  <autoFilter ref="B6:F8" xr:uid="{00000000-0009-0000-0100-000034000000}"/>
  <tableColumns count="5">
    <tableColumn id="1" xr3:uid="{00000000-0010-0000-3D00-000001000000}" name="Col1" dataDxfId="186"/>
    <tableColumn id="2" xr3:uid="{00000000-0010-0000-3D00-000002000000}" name="Col2" dataDxfId="185"/>
    <tableColumn id="3" xr3:uid="{00000000-0010-0000-3D00-000003000000}" name="Col3" dataDxfId="184">
      <calculatedColumnFormula>IF(AND(ISTEXT(Tab4B[[#This Row],[Col1]]),ISTEXT(Tab4B[[#This Row],[Col2]])),1,0)</calculatedColumnFormula>
    </tableColumn>
    <tableColumn id="4" xr3:uid="{00000000-0010-0000-3D00-000004000000}" name="Col4" dataDxfId="183">
      <calculatedColumnFormula>Tab4B[[#This Row],[Col3]]*VLOOKUP(VLOOKUP(A$1,TabRef3[],3,FALSE),TabRef4[],5,FALSE)</calculatedColumnFormula>
    </tableColumn>
    <tableColumn id="5" xr3:uid="{00000000-0010-0000-3D00-000005000000}" name="Col5" dataDxfId="182"/>
  </tableColumns>
  <tableStyleInfo name="TableStyleMedium4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E000000}" name="Tab4C" displayName="Tab4C" ref="B6:K8" totalsRowShown="0" headerRowDxfId="181" dataDxfId="179" headerRowBorderDxfId="180" tableBorderDxfId="178" totalsRowBorderDxfId="177">
  <autoFilter ref="B6:K8" xr:uid="{00000000-0009-0000-0100-000036000000}"/>
  <tableColumns count="10">
    <tableColumn id="1" xr3:uid="{00000000-0010-0000-3E00-000001000000}" name="Col1" dataDxfId="176"/>
    <tableColumn id="2" xr3:uid="{00000000-0010-0000-3E00-000002000000}" name="Col2" dataDxfId="175"/>
    <tableColumn id="3" xr3:uid="{00000000-0010-0000-3E00-000003000000}" name="Col3" dataDxfId="174">
      <calculatedColumnFormula>INDEX(TabRef3[Column3],MATCH(Tab4C[[#This Row],[Col2]],TabRef3[Column4],0),1)</calculatedColumnFormula>
    </tableColumn>
    <tableColumn id="4" xr3:uid="{00000000-0010-0000-3E00-000004000000}" name="Col4" dataDxfId="173"/>
    <tableColumn id="5" xr3:uid="{00000000-0010-0000-3E00-000005000000}" name="Col5" dataDxfId="172">
      <calculatedColumnFormula array="1">INDEX(TabRef4[Column3],MATCH(1,(Tab4C[[#This Row],[Col3]]=TabRef4[Column1])*(Tab4C[[#This Row],[Col4]]=TabRef4[Column4]),0),1)</calculatedColumnFormula>
    </tableColumn>
    <tableColumn id="6" xr3:uid="{00000000-0010-0000-3E00-000006000000}" name="Col6" dataDxfId="171"/>
    <tableColumn id="7" xr3:uid="{00000000-0010-0000-3E00-000007000000}" name="Col7" dataDxfId="170">
      <calculatedColumnFormula>IF(AND(ISTEXT(Tab4C[[#This Row],[Col1]]),ISTEXT(Tab4C[[#This Row],[Col2]]),ISTEXT(Tab4C[[#This Row],[Col4]]),ISTEXT(Tab4C[[#This Row],[Col6]])),1,0)</calculatedColumnFormula>
    </tableColumn>
    <tableColumn id="8" xr3:uid="{00000000-0010-0000-3E00-000008000000}" name="Col8" dataDxfId="169">
      <calculatedColumnFormula>IFERROR(Tab4C[[#This Row],[Col7]]*VLOOKUP(Tab4C[[#This Row],[Col5]],TabRef4[[Column3]:[Column5]],3,FALSE),0)</calculatedColumnFormula>
    </tableColumn>
    <tableColumn id="9" xr3:uid="{00000000-0010-0000-3E00-000009000000}" name="Col9" dataDxfId="168"/>
    <tableColumn id="10" xr3:uid="{00000000-0010-0000-3E00-00000A000000}" name="Col10" dataDxfId="167"/>
  </tableColumns>
  <tableStyleInfo name="TableStyleMedium4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F000000}" name="Tab4D" displayName="Tab4D" ref="B6:I8" totalsRowShown="0" headerRowDxfId="166" dataDxfId="164" headerRowBorderDxfId="165" tableBorderDxfId="163" totalsRowBorderDxfId="162">
  <autoFilter ref="B6:I8" xr:uid="{00000000-0009-0000-0100-000037000000}"/>
  <tableColumns count="8">
    <tableColumn id="1" xr3:uid="{00000000-0010-0000-3F00-000001000000}" name="Col1" dataDxfId="161"/>
    <tableColumn id="2" xr3:uid="{00000000-0010-0000-3F00-000002000000}" name="Col2" dataDxfId="160"/>
    <tableColumn id="3" xr3:uid="{00000000-0010-0000-3F00-000003000000}" name="Col3" dataDxfId="159">
      <calculatedColumnFormula>INDEX(TabRef3[Column3],MATCH(Tab4D[[#This Row],[Col2]],TabRef3[Column4],0),1)</calculatedColumnFormula>
    </tableColumn>
    <tableColumn id="6" xr3:uid="{00000000-0010-0000-3F00-000006000000}" name="Col4" dataDxfId="158"/>
    <tableColumn id="7" xr3:uid="{00000000-0010-0000-3F00-000007000000}" name="Col5" dataDxfId="157">
      <calculatedColumnFormula>IF(AND(ISTEXT(Tab4D[[#This Row],[Col1]]),ISTEXT(Tab4D[[#This Row],[Col2]]),ISTEXT(Tab4D[[#This Row],[Col4]])),1,0)</calculatedColumnFormula>
    </tableColumn>
    <tableColumn id="8" xr3:uid="{00000000-0010-0000-3F00-000008000000}" name="Col6" dataDxfId="156">
      <calculatedColumnFormula>IFERROR(Tab4D[[#This Row],[Col5]]*VLOOKUP(Tab4D[[#This Row],[Col3]],TabRef4[[Column1]:[Column5]],5,FALSE),0)</calculatedColumnFormula>
    </tableColumn>
    <tableColumn id="9" xr3:uid="{00000000-0010-0000-3F00-000009000000}" name="Col7" dataDxfId="155"/>
    <tableColumn id="10" xr3:uid="{00000000-0010-0000-3F00-00000A000000}" name="Col8" dataDxfId="154"/>
  </tableColumns>
  <tableStyleInfo name="TableStyleMedium4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40000000}" name="Tab4E" displayName="Tab4E" ref="B6:F8" totalsRowShown="0" headerRowDxfId="153" dataDxfId="152" tableBorderDxfId="151">
  <autoFilter ref="B6:F8" xr:uid="{00000000-0009-0000-0100-000038000000}"/>
  <tableColumns count="5">
    <tableColumn id="1" xr3:uid="{00000000-0010-0000-4000-000001000000}" name="Col1" dataDxfId="150"/>
    <tableColumn id="2" xr3:uid="{00000000-0010-0000-4000-000002000000}" name="Col2" dataDxfId="149"/>
    <tableColumn id="3" xr3:uid="{00000000-0010-0000-4000-000003000000}" name="Col3" dataDxfId="148">
      <calculatedColumnFormula>IF(AND(ISTEXT(Tab4E[[#This Row],[Col1]]),ISTEXT(Tab4E[[#This Row],[Col2]])),1,0)</calculatedColumnFormula>
    </tableColumn>
    <tableColumn id="4" xr3:uid="{00000000-0010-0000-4000-000004000000}" name="Col4" dataDxfId="147">
      <calculatedColumnFormula>Tab4E[[#This Row],[Col3]]*VLOOKUP(VLOOKUP(A$1,TabRef3[],3,FALSE),TabRef4[],5,FALSE)</calculatedColumnFormula>
    </tableColumn>
    <tableColumn id="5" xr3:uid="{00000000-0010-0000-4000-000005000000}" name="Col5" dataDxfId="146"/>
  </tableColumns>
  <tableStyleInfo name="TableStyleMedium4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1000000}" name="Tab4F" displayName="Tab4F" ref="B6:F8" totalsRowShown="0" headerRowDxfId="145" dataDxfId="144" tableBorderDxfId="143">
  <autoFilter ref="B6:F8" xr:uid="{00000000-0009-0000-0100-000043000000}"/>
  <tableColumns count="5">
    <tableColumn id="1" xr3:uid="{00000000-0010-0000-4100-000001000000}" name="Col1" dataDxfId="142"/>
    <tableColumn id="2" xr3:uid="{00000000-0010-0000-4100-000002000000}" name="Col2" dataDxfId="141"/>
    <tableColumn id="3" xr3:uid="{00000000-0010-0000-4100-000003000000}" name="Col3" dataDxfId="140">
      <calculatedColumnFormula>IF(AND(ISTEXT(Tab4F[[#This Row],[Col1]]),ISTEXT(Tab4F[[#This Row],[Col2]])),1,0)</calculatedColumnFormula>
    </tableColumn>
    <tableColumn id="4" xr3:uid="{00000000-0010-0000-4100-000004000000}" name="Col4" dataDxfId="139">
      <calculatedColumnFormula>Tab4F[[#This Row],[Col3]]*VLOOKUP(VLOOKUP(A$1,TabRef3[],3,FALSE),TabRef4[],5,FALSE)</calculatedColumnFormula>
    </tableColumn>
    <tableColumn id="5" xr3:uid="{00000000-0010-0000-4100-000005000000}" name="Col5" dataDxfId="138"/>
  </tableColumns>
  <tableStyleInfo name="TableStyleMedium4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2000000}" name="Tab4G" displayName="Tab4G" ref="B6:I8" totalsRowShown="0" headerRowDxfId="137" dataDxfId="135" headerRowBorderDxfId="136" tableBorderDxfId="134" totalsRowBorderDxfId="133">
  <autoFilter ref="B6:I8" xr:uid="{00000000-0009-0000-0100-000048000000}"/>
  <tableColumns count="8">
    <tableColumn id="1" xr3:uid="{00000000-0010-0000-4200-000001000000}" name="Col1" dataDxfId="132"/>
    <tableColumn id="2" xr3:uid="{00000000-0010-0000-4200-000002000000}" name="Col2" dataDxfId="131"/>
    <tableColumn id="3" xr3:uid="{00000000-0010-0000-4200-000003000000}" name="Col3" dataDxfId="130">
      <calculatedColumnFormula>INDEX(TabRef3[Column3],MATCH(Tab4G[[#This Row],[Col2]],TabRef3[Column4],0),1)</calculatedColumnFormula>
    </tableColumn>
    <tableColumn id="6" xr3:uid="{00000000-0010-0000-4200-000006000000}" name="Col4" dataDxfId="129"/>
    <tableColumn id="7" xr3:uid="{00000000-0010-0000-4200-000007000000}" name="Col5" dataDxfId="128">
      <calculatedColumnFormula>IF(AND(ISTEXT(Tab4G[[#This Row],[Col1]]),ISTEXT(Tab4G[[#This Row],[Col2]]),ISTEXT(Tab4G[[#This Row],[Col4]])),1,0)</calculatedColumnFormula>
    </tableColumn>
    <tableColumn id="8" xr3:uid="{00000000-0010-0000-4200-000008000000}" name="Col6" dataDxfId="127">
      <calculatedColumnFormula>IFERROR(Tab4G[[#This Row],[Col5]]*VLOOKUP(Tab4G[[#This Row],[Col3]],TabRef4[[Column1]:[Column5]],5,FALSE),0)</calculatedColumnFormula>
    </tableColumn>
    <tableColumn id="9" xr3:uid="{00000000-0010-0000-4200-000009000000}" name="Col7" dataDxfId="126"/>
    <tableColumn id="10" xr3:uid="{00000000-0010-0000-4200-00000A000000}" name="Col8" dataDxfId="125"/>
  </tableColumns>
  <tableStyleInfo name="TableStyleMedium4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43000000}" name="Tab5A" displayName="Tab5A" ref="B6:I8" totalsRowShown="0" headerRowDxfId="124" dataDxfId="122" headerRowBorderDxfId="123" tableBorderDxfId="121" totalsRowBorderDxfId="120">
  <autoFilter ref="B6:I8" xr:uid="{00000000-0009-0000-0100-000039000000}"/>
  <tableColumns count="8">
    <tableColumn id="1" xr3:uid="{00000000-0010-0000-4300-000001000000}" name="Col1" dataDxfId="119"/>
    <tableColumn id="2" xr3:uid="{00000000-0010-0000-4300-000002000000}" name="Col2" dataDxfId="118"/>
    <tableColumn id="3" xr3:uid="{00000000-0010-0000-4300-000003000000}" name="Col3" dataDxfId="117">
      <calculatedColumnFormula>INDEX(TabRef3[Column3],MATCH(Tab5A[[#This Row],[Col2]],TabRef3[Column4],0),1)</calculatedColumnFormula>
    </tableColumn>
    <tableColumn id="6" xr3:uid="{00000000-0010-0000-4300-000006000000}" name="Col4" dataDxfId="116"/>
    <tableColumn id="7" xr3:uid="{00000000-0010-0000-4300-000007000000}" name="Col5" dataDxfId="115">
      <calculatedColumnFormula>IF(AND(ISTEXT(Tab5A[[#This Row],[Col1]]),ISTEXT(Tab5A[[#This Row],[Col2]]),ISTEXT(Tab5A[[#This Row],[Col4]])),1,0)</calculatedColumnFormula>
    </tableColumn>
    <tableColumn id="8" xr3:uid="{00000000-0010-0000-4300-000008000000}" name="Col6" dataDxfId="114">
      <calculatedColumnFormula>IFERROR(Tab5A[[#This Row],[Col5]]*VLOOKUP(Tab5A[[#This Row],[Col3]],TabRef4[[Column1]:[Column5]],5,FALSE),0)</calculatedColumnFormula>
    </tableColumn>
    <tableColumn id="9" xr3:uid="{00000000-0010-0000-4300-000009000000}" name="Col7" dataDxfId="113"/>
    <tableColumn id="10" xr3:uid="{00000000-0010-0000-4300-00000A000000}" name="Col8" dataDxfId="112"/>
  </tableColumns>
  <tableStyleInfo name="TableStyleMedium4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44000000}" name="Tab5B" displayName="Tab5B" ref="B6:K8" totalsRowShown="0" headerRowDxfId="111" dataDxfId="109" headerRowBorderDxfId="110" tableBorderDxfId="108" totalsRowBorderDxfId="107">
  <autoFilter ref="B6:K8" xr:uid="{00000000-0009-0000-0100-00003A000000}"/>
  <tableColumns count="10">
    <tableColumn id="1" xr3:uid="{00000000-0010-0000-4400-000001000000}" name="Col1" dataDxfId="106"/>
    <tableColumn id="2" xr3:uid="{00000000-0010-0000-4400-000002000000}" name="Col2" dataDxfId="105"/>
    <tableColumn id="3" xr3:uid="{00000000-0010-0000-4400-000003000000}" name="Col3" dataDxfId="104">
      <calculatedColumnFormula>INDEX(TabRef3[Column3],MATCH(Tab5B[[#This Row],[Col2]],TabRef3[Column4],0),1)</calculatedColumnFormula>
    </tableColumn>
    <tableColumn id="4" xr3:uid="{00000000-0010-0000-4400-000004000000}" name="Col4" dataDxfId="103"/>
    <tableColumn id="5" xr3:uid="{00000000-0010-0000-4400-000005000000}" name="Col5" dataDxfId="102">
      <calculatedColumnFormula array="1">INDEX(TabRef4[Column3],MATCH(1,(Tab5B[[#This Row],[Col3]]=TabRef4[Column1])*(Tab5B[[#This Row],[Col4]]=TabRef4[Column4]),0),1)</calculatedColumnFormula>
    </tableColumn>
    <tableColumn id="6" xr3:uid="{00000000-0010-0000-4400-000006000000}" name="Col6" dataDxfId="101"/>
    <tableColumn id="7" xr3:uid="{00000000-0010-0000-4400-000007000000}" name="Col7" dataDxfId="100">
      <calculatedColumnFormula>IF(AND(ISTEXT(Tab5B[[#This Row],[Col1]]),ISTEXT(Tab5B[[#This Row],[Col2]]),ISTEXT(Tab5B[[#This Row],[Col4]]),ISTEXT(Tab5B[[#This Row],[Col6]])),1,0)</calculatedColumnFormula>
    </tableColumn>
    <tableColumn id="8" xr3:uid="{00000000-0010-0000-4400-000008000000}" name="Col8" dataDxfId="99">
      <calculatedColumnFormula>IFERROR(Tab5B[[#This Row],[Col7]]*VLOOKUP(Tab5B[[#This Row],[Col5]],TabRef4[[Column3]:[Column5]],3,FALSE),0)</calculatedColumnFormula>
    </tableColumn>
    <tableColumn id="9" xr3:uid="{00000000-0010-0000-4400-000009000000}" name="Col9" dataDxfId="98"/>
    <tableColumn id="10" xr3:uid="{00000000-0010-0000-4400-00000A000000}" name="Col10" dataDxfId="97"/>
  </tableColumns>
  <tableStyleInfo name="TableStyleMedium4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45000000}" name="Tab5C" displayName="Tab5C" ref="B6:K8" totalsRowShown="0" headerRowDxfId="96" dataDxfId="94" headerRowBorderDxfId="95" tableBorderDxfId="93" totalsRowBorderDxfId="92">
  <autoFilter ref="B6:K8" xr:uid="{00000000-0009-0000-0100-00003B000000}"/>
  <tableColumns count="10">
    <tableColumn id="1" xr3:uid="{00000000-0010-0000-4500-000001000000}" name="Col1" dataDxfId="91"/>
    <tableColumn id="2" xr3:uid="{00000000-0010-0000-4500-000002000000}" name="Col2" dataDxfId="90"/>
    <tableColumn id="3" xr3:uid="{00000000-0010-0000-4500-000003000000}" name="Col3" dataDxfId="89">
      <calculatedColumnFormula>INDEX(TabRef3[Column3],MATCH(Tab5C[[#This Row],[Col2]],TabRef3[Column4],0),1)</calculatedColumnFormula>
    </tableColumn>
    <tableColumn id="4" xr3:uid="{00000000-0010-0000-4500-000004000000}" name="Col4" dataDxfId="88"/>
    <tableColumn id="5" xr3:uid="{00000000-0010-0000-4500-000005000000}" name="Col5" dataDxfId="87">
      <calculatedColumnFormula array="1">INDEX(TabRef4[Column3],MATCH(1,(Tab5C[[#This Row],[Col3]]=TabRef4[Column1])*(Tab5C[[#This Row],[Col4]]=TabRef4[Column4]),0),1)</calculatedColumnFormula>
    </tableColumn>
    <tableColumn id="6" xr3:uid="{00000000-0010-0000-4500-000006000000}" name="Col6" dataDxfId="86"/>
    <tableColumn id="7" xr3:uid="{00000000-0010-0000-4500-000007000000}" name="Col7" dataDxfId="85">
      <calculatedColumnFormula>IF(AND(ISTEXT(Tab5C[[#This Row],[Col1]]),ISTEXT(Tab5C[[#This Row],[Col2]]),ISTEXT(Tab5C[[#This Row],[Col4]]),ISTEXT(Tab5C[[#This Row],[Col6]])),1,0)</calculatedColumnFormula>
    </tableColumn>
    <tableColumn id="8" xr3:uid="{00000000-0010-0000-4500-000008000000}" name="Col8" dataDxfId="84">
      <calculatedColumnFormula>IFERROR(Tab5C[[#This Row],[Col7]]*VLOOKUP(Tab5C[[#This Row],[Col5]],TabRef4[[Column3]:[Column5]],3,FALSE),0)</calculatedColumnFormula>
    </tableColumn>
    <tableColumn id="9" xr3:uid="{00000000-0010-0000-4500-000009000000}" name="Col9" dataDxfId="83"/>
    <tableColumn id="10" xr3:uid="{00000000-0010-0000-4500-00000A000000}" name="Col10" dataDxfId="82"/>
  </tableColumns>
  <tableStyleInfo name="TableStyleMedium4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46000000}" name="Tab5D" displayName="Tab5D" ref="B6:F8" totalsRowShown="0" headerRowDxfId="81" dataDxfId="80" tableBorderDxfId="79">
  <autoFilter ref="B6:F8" xr:uid="{00000000-0009-0000-0100-00003C000000}"/>
  <tableColumns count="5">
    <tableColumn id="1" xr3:uid="{00000000-0010-0000-4600-000001000000}" name="Col1" dataDxfId="78"/>
    <tableColumn id="2" xr3:uid="{00000000-0010-0000-4600-000002000000}" name="Col2" dataDxfId="77"/>
    <tableColumn id="3" xr3:uid="{00000000-0010-0000-4600-000003000000}" name="Col3" dataDxfId="76">
      <calculatedColumnFormula>IF(AND(ISTEXT(Tab5D[[#This Row],[Col1]]),ISTEXT(Tab5D[[#This Row],[Col2]])),1,0)</calculatedColumnFormula>
    </tableColumn>
    <tableColumn id="4" xr3:uid="{00000000-0010-0000-4600-000004000000}" name="Col4" dataDxfId="75">
      <calculatedColumnFormula>Tab5D[[#This Row],[Col3]]*VLOOKUP(VLOOKUP(A$1,TabRef3[],3,FALSE),TabRef4[],5,FALSE)</calculatedColumnFormula>
    </tableColumn>
    <tableColumn id="5" xr3:uid="{00000000-0010-0000-4600-000005000000}" name="Col5" dataDxfId="74"/>
  </tableColumns>
  <tableStyleInfo name="TableStyleMedium4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47000000}" name="Tab5E" displayName="Tab5E" ref="B6:I8" totalsRowShown="0" headerRowDxfId="73" dataDxfId="71" headerRowBorderDxfId="72" tableBorderDxfId="70" totalsRowBorderDxfId="69">
  <autoFilter ref="B6:I8" xr:uid="{00000000-0009-0000-0100-00003D000000}"/>
  <tableColumns count="8">
    <tableColumn id="1" xr3:uid="{00000000-0010-0000-4700-000001000000}" name="Col1" dataDxfId="68"/>
    <tableColumn id="2" xr3:uid="{00000000-0010-0000-4700-000002000000}" name="Col2" dataDxfId="67"/>
    <tableColumn id="3" xr3:uid="{00000000-0010-0000-4700-000003000000}" name="Col3" dataDxfId="66">
      <calculatedColumnFormula>INDEX(TabRef3[Column3],MATCH(Tab5E[[#This Row],[Col2]],TabRef3[Column4],0),1)</calculatedColumnFormula>
    </tableColumn>
    <tableColumn id="6" xr3:uid="{00000000-0010-0000-4700-000006000000}" name="Col4" dataDxfId="65"/>
    <tableColumn id="7" xr3:uid="{00000000-0010-0000-4700-000007000000}" name="Col5" dataDxfId="64">
      <calculatedColumnFormula>IF(AND(ISTEXT(Tab5E[[#This Row],[Col1]]),ISTEXT(Tab5E[[#This Row],[Col2]]),ISTEXT(Tab5E[[#This Row],[Col4]])),1,0)</calculatedColumnFormula>
    </tableColumn>
    <tableColumn id="8" xr3:uid="{00000000-0010-0000-4700-000008000000}" name="Col6" dataDxfId="63">
      <calculatedColumnFormula>IFERROR(Tab5E[[#This Row],[Col5]]*VLOOKUP(Tab5E[[#This Row],[Col3]],TabRef4[[Column1]:[Column5]],5,FALSE),0)</calculatedColumnFormula>
    </tableColumn>
    <tableColumn id="9" xr3:uid="{00000000-0010-0000-4700-000009000000}" name="Col7" dataDxfId="62"/>
    <tableColumn id="10" xr3:uid="{00000000-0010-0000-4700-00000A000000}" name="Col8" dataDxfId="61"/>
  </tableColumns>
  <tableStyleInfo name="TableStyleMedium4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8000000}" name="Tab5F" displayName="Tab5F" ref="B6:K8" totalsRowShown="0" headerRowDxfId="60" headerRowBorderDxfId="59" tableBorderDxfId="58" totalsRowBorderDxfId="57">
  <autoFilter ref="B6:K8" xr:uid="{00000000-0009-0000-0100-000049000000}"/>
  <tableColumns count="10">
    <tableColumn id="1" xr3:uid="{00000000-0010-0000-4800-000001000000}" name="Col1" dataDxfId="56"/>
    <tableColumn id="2" xr3:uid="{00000000-0010-0000-4800-000002000000}" name="Col2" dataDxfId="55"/>
    <tableColumn id="3" xr3:uid="{00000000-0010-0000-4800-000003000000}" name="Col3" dataDxfId="54">
      <calculatedColumnFormula>INDEX(TabRef3[Column3],MATCH(Tab5F[[#This Row],[Col2]],TabRef3[Column4],0),1)</calculatedColumnFormula>
    </tableColumn>
    <tableColumn id="4" xr3:uid="{00000000-0010-0000-4800-000004000000}" name="Col4" dataDxfId="53"/>
    <tableColumn id="5" xr3:uid="{00000000-0010-0000-4800-000005000000}" name="Col5" dataDxfId="52">
      <calculatedColumnFormula array="1">INDEX(TabRef4[Column3],MATCH(1,(Tab5F[[#This Row],[Col3]]=TabRef4[Column1])*(Tab5F[[#This Row],[Col4]]=TabRef4[Column4]),0),1)</calculatedColumnFormula>
    </tableColumn>
    <tableColumn id="6" xr3:uid="{00000000-0010-0000-4800-000006000000}" name="Col6" dataDxfId="51"/>
    <tableColumn id="7" xr3:uid="{00000000-0010-0000-4800-000007000000}" name="Col7" dataDxfId="50">
      <calculatedColumnFormula>IF(AND(ISTEXT(Tab5F[[#This Row],[Col1]]),ISTEXT(Tab5F[[#This Row],[Col2]]),ISTEXT(Tab5F[[#This Row],[Col4]]),ISTEXT(Tab5F[[#This Row],[Col6]])),1,0)</calculatedColumnFormula>
    </tableColumn>
    <tableColumn id="8" xr3:uid="{00000000-0010-0000-4800-000008000000}" name="Col8" dataDxfId="49">
      <calculatedColumnFormula>IFERROR(Tab5F[[#This Row],[Col7]]*VLOOKUP(Tab5F[[#This Row],[Col5]],TabRef4[[Column3]:[Column5]],3,FALSE),0)</calculatedColumnFormula>
    </tableColumn>
    <tableColumn id="9" xr3:uid="{00000000-0010-0000-4800-000009000000}" name="Col9" dataDxfId="48"/>
    <tableColumn id="10" xr3:uid="{00000000-0010-0000-4800-00000A000000}" name="Col10" dataDxfId="47"/>
  </tableColumns>
  <tableStyleInfo name="TableStyleMedium4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9000000}" name="Tab5G" displayName="Tab5G" ref="B6:I8" totalsRowShown="0" headerRowDxfId="46" headerRowBorderDxfId="45" tableBorderDxfId="44" totalsRowBorderDxfId="43">
  <autoFilter ref="B6:I8" xr:uid="{00000000-0009-0000-0100-00004C000000}"/>
  <tableColumns count="8">
    <tableColumn id="1" xr3:uid="{00000000-0010-0000-4900-000001000000}" name="Col1" dataDxfId="42"/>
    <tableColumn id="2" xr3:uid="{00000000-0010-0000-4900-000002000000}" name="Col2" dataDxfId="41"/>
    <tableColumn id="3" xr3:uid="{00000000-0010-0000-4900-000003000000}" name="Col3" dataDxfId="40">
      <calculatedColumnFormula>INDEX(TabRef3[Column3],MATCH(Tab5G[[#This Row],[Col2]],TabRef3[Column4],0),1)</calculatedColumnFormula>
    </tableColumn>
    <tableColumn id="6" xr3:uid="{00000000-0010-0000-4900-000006000000}" name="Col4" dataDxfId="39"/>
    <tableColumn id="7" xr3:uid="{00000000-0010-0000-4900-000007000000}" name="Col5" dataDxfId="38">
      <calculatedColumnFormula>IF(AND(ISTEXT(Tab5G[[#This Row],[Col1]]),ISTEXT(Tab5G[[#This Row],[Col2]]),ISTEXT(Tab5G[[#This Row],[Col4]])),1,0)</calculatedColumnFormula>
    </tableColumn>
    <tableColumn id="8" xr3:uid="{00000000-0010-0000-4900-000008000000}" name="Col6" dataDxfId="37">
      <calculatedColumnFormula>IFERROR(Tab5G[[#This Row],[Col5]]*VLOOKUP(Tab5G[[#This Row],[Col3]],TabRef4[[Column1]:[Column5]],5,FALSE),0)</calculatedColumnFormula>
    </tableColumn>
    <tableColumn id="9" xr3:uid="{00000000-0010-0000-4900-000009000000}" name="Col7" dataDxfId="36"/>
    <tableColumn id="10" xr3:uid="{00000000-0010-0000-4900-00000A000000}" name="Col8" dataDxfId="35"/>
  </tableColumns>
  <tableStyleInfo name="TableStyleMedium4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A000000}" name="Tab5H" displayName="Tab5H" ref="B6:I8" totalsRowShown="0" headerRowDxfId="34" dataDxfId="32" headerRowBorderDxfId="33" tableBorderDxfId="31" totalsRowBorderDxfId="30">
  <autoFilter ref="B6:I8" xr:uid="{00000000-0009-0000-0100-00004E000000}"/>
  <tableColumns count="8">
    <tableColumn id="1" xr3:uid="{00000000-0010-0000-4A00-000001000000}" name="Col1" dataDxfId="29"/>
    <tableColumn id="2" xr3:uid="{00000000-0010-0000-4A00-000002000000}" name="Col2" dataDxfId="28"/>
    <tableColumn id="3" xr3:uid="{00000000-0010-0000-4A00-000003000000}" name="Col3" dataDxfId="27">
      <calculatedColumnFormula>INDEX(TabRef3[Column3],MATCH(Tab5H[[#This Row],[Col2]],TabRef3[Column4],0),1)</calculatedColumnFormula>
    </tableColumn>
    <tableColumn id="6" xr3:uid="{00000000-0010-0000-4A00-000006000000}" name="Col4" dataDxfId="26"/>
    <tableColumn id="7" xr3:uid="{00000000-0010-0000-4A00-000007000000}" name="Col5" dataDxfId="25">
      <calculatedColumnFormula>IF(AND(ISTEXT(Tab5H[[#This Row],[Col1]]),ISTEXT(Tab5H[[#This Row],[Col2]]),ISTEXT(Tab5H[[#This Row],[Col4]])),1,0)</calculatedColumnFormula>
    </tableColumn>
    <tableColumn id="8" xr3:uid="{00000000-0010-0000-4A00-000008000000}" name="Col6" dataDxfId="24">
      <calculatedColumnFormula>IFERROR(Tab5H[[#This Row],[Col5]]*VLOOKUP(Tab5H[[#This Row],[Col3]],TabRef4[[Column1]:[Column5]],5,FALSE),0)</calculatedColumnFormula>
    </tableColumn>
    <tableColumn id="9" xr3:uid="{00000000-0010-0000-4A00-000009000000}" name="Col7" dataDxfId="23"/>
    <tableColumn id="10" xr3:uid="{00000000-0010-0000-4A00-00000A000000}" name="Col8" dataDxfId="22"/>
  </tableColumns>
  <tableStyleInfo name="TableStyleMedium4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B000000}" name="Tab5I" displayName="Tab5I" ref="B6:I8" totalsRowShown="0" headerRowDxfId="21" dataDxfId="19" headerRowBorderDxfId="20" tableBorderDxfId="18" totalsRowBorderDxfId="17">
  <autoFilter ref="B6:I8" xr:uid="{00000000-0009-0000-0100-00004F000000}"/>
  <tableColumns count="8">
    <tableColumn id="1" xr3:uid="{00000000-0010-0000-4B00-000001000000}" name="Col1" dataDxfId="16"/>
    <tableColumn id="2" xr3:uid="{00000000-0010-0000-4B00-000002000000}" name="Col2" dataDxfId="15"/>
    <tableColumn id="3" xr3:uid="{00000000-0010-0000-4B00-000003000000}" name="Col3" dataDxfId="14">
      <calculatedColumnFormula>INDEX(TabRef3[Column3],MATCH(Tab5I[[#This Row],[Col2]],TabRef3[Column4],0),1)</calculatedColumnFormula>
    </tableColumn>
    <tableColumn id="6" xr3:uid="{00000000-0010-0000-4B00-000006000000}" name="Col4" dataDxfId="13"/>
    <tableColumn id="7" xr3:uid="{00000000-0010-0000-4B00-000007000000}" name="Col5" dataDxfId="12">
      <calculatedColumnFormula>IF(AND(ISTEXT(Tab5I[[#This Row],[Col1]]),ISTEXT(Tab5I[[#This Row],[Col2]]),ISTEXT(Tab5I[[#This Row],[Col4]])),1,0)</calculatedColumnFormula>
    </tableColumn>
    <tableColumn id="8" xr3:uid="{00000000-0010-0000-4B00-000008000000}" name="Col6" dataDxfId="11">
      <calculatedColumnFormula>IFERROR(Tab5I[[#This Row],[Col5]]*VLOOKUP(Tab5I[[#This Row],[Col3]],TabRef4[[Column1]:[Column5]],5,FALSE),0)</calculatedColumnFormula>
    </tableColumn>
    <tableColumn id="9" xr3:uid="{00000000-0010-0000-4B00-000009000000}" name="Col7" dataDxfId="10"/>
    <tableColumn id="10" xr3:uid="{00000000-0010-0000-4B00-00000A000000}" name="Col8" dataDxfId="9"/>
  </tableColumns>
  <tableStyleInfo name="TableStyleMedium4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C000000}" name="Tab5J" displayName="Tab5J" ref="B6:F8" totalsRowShown="0" headerRowDxfId="8" headerRowBorderDxfId="7" tableBorderDxfId="6" totalsRowBorderDxfId="5">
  <autoFilter ref="B6:F8" xr:uid="{00000000-0009-0000-0100-000042000000}"/>
  <tableColumns count="5">
    <tableColumn id="1" xr3:uid="{00000000-0010-0000-4C00-000001000000}" name="Col1" dataDxfId="4"/>
    <tableColumn id="2" xr3:uid="{00000000-0010-0000-4C00-000002000000}" name="Col2" dataDxfId="3"/>
    <tableColumn id="3" xr3:uid="{00000000-0010-0000-4C00-000003000000}" name="Col3" dataDxfId="2">
      <calculatedColumnFormula>IF(AND(ISTEXT(Tab5J[[#This Row],[Col1]]),ISTEXT(Tab5J[[#This Row],[Col2]])),1,0)</calculatedColumnFormula>
    </tableColumn>
    <tableColumn id="6" xr3:uid="{00000000-0010-0000-4C00-000006000000}" name="Col4" dataDxfId="1">
      <calculatedColumnFormula>Tab5J[[#This Row],[Col3]]*VLOOKUP(VLOOKUP(A$1,TabRef3[],3,FALSE),TabRef4[],5,FALSE)</calculatedColumnFormula>
    </tableColumn>
    <tableColumn id="7" xr3:uid="{00000000-0010-0000-4C00-000007000000}" name="Col5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13" Type="http://schemas.openxmlformats.org/officeDocument/2006/relationships/table" Target="../tables/table36.xml"/><Relationship Id="rId3" Type="http://schemas.openxmlformats.org/officeDocument/2006/relationships/table" Target="../tables/table26.xml"/><Relationship Id="rId7" Type="http://schemas.openxmlformats.org/officeDocument/2006/relationships/table" Target="../tables/table30.xml"/><Relationship Id="rId12" Type="http://schemas.openxmlformats.org/officeDocument/2006/relationships/table" Target="../tables/table35.xml"/><Relationship Id="rId17" Type="http://schemas.openxmlformats.org/officeDocument/2006/relationships/table" Target="../tables/table40.xml"/><Relationship Id="rId2" Type="http://schemas.openxmlformats.org/officeDocument/2006/relationships/table" Target="../tables/table25.xml"/><Relationship Id="rId16" Type="http://schemas.openxmlformats.org/officeDocument/2006/relationships/table" Target="../tables/table39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29.xml"/><Relationship Id="rId11" Type="http://schemas.openxmlformats.org/officeDocument/2006/relationships/table" Target="../tables/table34.xml"/><Relationship Id="rId5" Type="http://schemas.openxmlformats.org/officeDocument/2006/relationships/table" Target="../tables/table28.xml"/><Relationship Id="rId15" Type="http://schemas.openxmlformats.org/officeDocument/2006/relationships/table" Target="../tables/table38.xml"/><Relationship Id="rId10" Type="http://schemas.openxmlformats.org/officeDocument/2006/relationships/table" Target="../tables/table33.xml"/><Relationship Id="rId4" Type="http://schemas.openxmlformats.org/officeDocument/2006/relationships/table" Target="../tables/table27.xml"/><Relationship Id="rId9" Type="http://schemas.openxmlformats.org/officeDocument/2006/relationships/table" Target="../tables/table32.xml"/><Relationship Id="rId14" Type="http://schemas.openxmlformats.org/officeDocument/2006/relationships/table" Target="../tables/table3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7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2" Type="http://schemas.openxmlformats.org/officeDocument/2006/relationships/table" Target="../tables/table49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5.xml"/><Relationship Id="rId1" Type="http://schemas.openxmlformats.org/officeDocument/2006/relationships/printerSettings" Target="../printerSettings/printerSettings25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printerSettings" Target="../printerSettings/printerSettings2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1.xml"/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H277"/>
  <sheetViews>
    <sheetView topLeftCell="A223" workbookViewId="0">
      <selection activeCell="G289" sqref="G289"/>
    </sheetView>
  </sheetViews>
  <sheetFormatPr baseColWidth="10" defaultColWidth="9.1640625" defaultRowHeight="13" x14ac:dyDescent="0.2"/>
  <cols>
    <col min="1" max="1" width="2.5" style="5" customWidth="1"/>
    <col min="2" max="2" width="8.6640625" style="11" customWidth="1"/>
    <col min="3" max="4" width="8.6640625" style="5" customWidth="1"/>
    <col min="5" max="5" width="123.5" style="5" customWidth="1"/>
    <col min="6" max="6" width="9.1640625" style="5"/>
    <col min="7" max="7" width="9.1640625" style="11"/>
    <col min="8" max="8" width="17" style="12" bestFit="1" customWidth="1"/>
    <col min="9" max="16384" width="9.1640625" style="5"/>
  </cols>
  <sheetData>
    <row r="2" spans="2:5" x14ac:dyDescent="0.2">
      <c r="B2" s="3" t="s">
        <v>13</v>
      </c>
      <c r="C2" s="4" t="s">
        <v>14</v>
      </c>
    </row>
    <row r="3" spans="2:5" x14ac:dyDescent="0.2">
      <c r="B3" s="3" t="s">
        <v>15</v>
      </c>
      <c r="C3" s="4" t="s">
        <v>16</v>
      </c>
    </row>
    <row r="4" spans="2:5" x14ac:dyDescent="0.2">
      <c r="B4" s="3" t="s">
        <v>17</v>
      </c>
      <c r="C4" s="4" t="s">
        <v>18</v>
      </c>
    </row>
    <row r="5" spans="2:5" x14ac:dyDescent="0.2">
      <c r="B5" s="3" t="s">
        <v>19</v>
      </c>
      <c r="C5" s="4" t="s">
        <v>20</v>
      </c>
    </row>
    <row r="6" spans="2:5" x14ac:dyDescent="0.2">
      <c r="B6" s="6"/>
      <c r="C6" s="7"/>
    </row>
    <row r="8" spans="2:5" x14ac:dyDescent="0.2">
      <c r="B8" s="3" t="s">
        <v>13</v>
      </c>
      <c r="C8" s="3" t="s">
        <v>21</v>
      </c>
      <c r="D8" s="3" t="str">
        <f>CONCATENATE(B8,C8)</f>
        <v>II.A.</v>
      </c>
      <c r="E8" s="4" t="s">
        <v>22</v>
      </c>
    </row>
    <row r="9" spans="2:5" x14ac:dyDescent="0.2">
      <c r="B9" s="3" t="s">
        <v>13</v>
      </c>
      <c r="C9" s="3" t="s">
        <v>23</v>
      </c>
      <c r="D9" s="3" t="str">
        <f t="shared" ref="D9:D20" si="0">CONCATENATE(B9,C9)</f>
        <v>II.B.</v>
      </c>
      <c r="E9" s="4" t="s">
        <v>24</v>
      </c>
    </row>
    <row r="10" spans="2:5" x14ac:dyDescent="0.2">
      <c r="B10" s="3" t="s">
        <v>13</v>
      </c>
      <c r="C10" s="3" t="s">
        <v>25</v>
      </c>
      <c r="D10" s="3" t="str">
        <f t="shared" si="0"/>
        <v>II.C.</v>
      </c>
      <c r="E10" s="4" t="s">
        <v>26</v>
      </c>
    </row>
    <row r="11" spans="2:5" x14ac:dyDescent="0.2">
      <c r="B11" s="3" t="s">
        <v>13</v>
      </c>
      <c r="C11" s="3" t="s">
        <v>27</v>
      </c>
      <c r="D11" s="3" t="str">
        <f t="shared" si="0"/>
        <v>II.D.</v>
      </c>
      <c r="E11" s="4" t="s">
        <v>28</v>
      </c>
    </row>
    <row r="12" spans="2:5" x14ac:dyDescent="0.2">
      <c r="B12" s="3" t="s">
        <v>13</v>
      </c>
      <c r="C12" s="3" t="s">
        <v>29</v>
      </c>
      <c r="D12" s="3" t="str">
        <f t="shared" si="0"/>
        <v>II.E.</v>
      </c>
      <c r="E12" s="4" t="s">
        <v>30</v>
      </c>
    </row>
    <row r="13" spans="2:5" x14ac:dyDescent="0.2">
      <c r="B13" s="3" t="s">
        <v>13</v>
      </c>
      <c r="C13" s="3" t="s">
        <v>31</v>
      </c>
      <c r="D13" s="3" t="str">
        <f t="shared" si="0"/>
        <v>II.F.</v>
      </c>
      <c r="E13" s="4" t="s">
        <v>32</v>
      </c>
    </row>
    <row r="14" spans="2:5" x14ac:dyDescent="0.2">
      <c r="B14" s="3" t="s">
        <v>13</v>
      </c>
      <c r="C14" s="3" t="s">
        <v>33</v>
      </c>
      <c r="D14" s="3" t="str">
        <f t="shared" si="0"/>
        <v>II.G.</v>
      </c>
      <c r="E14" s="4" t="s">
        <v>34</v>
      </c>
    </row>
    <row r="15" spans="2:5" x14ac:dyDescent="0.2">
      <c r="B15" s="3" t="s">
        <v>13</v>
      </c>
      <c r="C15" s="3" t="s">
        <v>35</v>
      </c>
      <c r="D15" s="3" t="str">
        <f t="shared" si="0"/>
        <v>II.H.</v>
      </c>
      <c r="E15" s="4" t="s">
        <v>36</v>
      </c>
    </row>
    <row r="16" spans="2:5" x14ac:dyDescent="0.2">
      <c r="B16" s="3" t="s">
        <v>13</v>
      </c>
      <c r="C16" s="3" t="s">
        <v>37</v>
      </c>
      <c r="D16" s="3" t="str">
        <f t="shared" si="0"/>
        <v>II.I.</v>
      </c>
      <c r="E16" s="4" t="s">
        <v>38</v>
      </c>
    </row>
    <row r="17" spans="2:5" x14ac:dyDescent="0.2">
      <c r="B17" s="3" t="s">
        <v>13</v>
      </c>
      <c r="C17" s="3" t="s">
        <v>39</v>
      </c>
      <c r="D17" s="3" t="str">
        <f t="shared" si="0"/>
        <v>II.J.</v>
      </c>
      <c r="E17" s="4" t="s">
        <v>40</v>
      </c>
    </row>
    <row r="18" spans="2:5" x14ac:dyDescent="0.2">
      <c r="B18" s="3" t="s">
        <v>13</v>
      </c>
      <c r="C18" s="3" t="s">
        <v>41</v>
      </c>
      <c r="D18" s="3" t="str">
        <f t="shared" si="0"/>
        <v>II.K.</v>
      </c>
      <c r="E18" s="4" t="s">
        <v>42</v>
      </c>
    </row>
    <row r="19" spans="2:5" x14ac:dyDescent="0.2">
      <c r="B19" s="3" t="s">
        <v>13</v>
      </c>
      <c r="C19" s="3" t="s">
        <v>43</v>
      </c>
      <c r="D19" s="3" t="str">
        <f t="shared" si="0"/>
        <v>II.L.</v>
      </c>
      <c r="E19" s="4" t="s">
        <v>44</v>
      </c>
    </row>
    <row r="20" spans="2:5" x14ac:dyDescent="0.2">
      <c r="B20" s="3" t="s">
        <v>13</v>
      </c>
      <c r="C20" s="3" t="s">
        <v>45</v>
      </c>
      <c r="D20" s="3" t="str">
        <f t="shared" si="0"/>
        <v>II.M.</v>
      </c>
      <c r="E20" s="4" t="s">
        <v>46</v>
      </c>
    </row>
    <row r="21" spans="2:5" x14ac:dyDescent="0.2">
      <c r="B21" s="3" t="s">
        <v>15</v>
      </c>
      <c r="C21" s="3" t="s">
        <v>21</v>
      </c>
      <c r="D21" s="3" t="str">
        <f>CONCATENATE(B21,C21)</f>
        <v>III.A.</v>
      </c>
      <c r="E21" s="4" t="s">
        <v>47</v>
      </c>
    </row>
    <row r="22" spans="2:5" x14ac:dyDescent="0.2">
      <c r="B22" s="3" t="s">
        <v>15</v>
      </c>
      <c r="C22" s="3" t="s">
        <v>23</v>
      </c>
      <c r="D22" s="3" t="str">
        <f t="shared" ref="D22:D45" si="1">CONCATENATE(B22,C22)</f>
        <v>III.B.</v>
      </c>
      <c r="E22" s="4" t="s">
        <v>48</v>
      </c>
    </row>
    <row r="23" spans="2:5" x14ac:dyDescent="0.2">
      <c r="B23" s="3" t="s">
        <v>15</v>
      </c>
      <c r="C23" s="3" t="s">
        <v>25</v>
      </c>
      <c r="D23" s="3" t="str">
        <f t="shared" si="1"/>
        <v>III.C.</v>
      </c>
      <c r="E23" s="4" t="s">
        <v>49</v>
      </c>
    </row>
    <row r="24" spans="2:5" x14ac:dyDescent="0.2">
      <c r="B24" s="3" t="s">
        <v>15</v>
      </c>
      <c r="C24" s="3" t="s">
        <v>27</v>
      </c>
      <c r="D24" s="3" t="str">
        <f t="shared" si="1"/>
        <v>III.D.</v>
      </c>
      <c r="E24" s="4" t="s">
        <v>50</v>
      </c>
    </row>
    <row r="25" spans="2:5" x14ac:dyDescent="0.2">
      <c r="B25" s="3" t="s">
        <v>15</v>
      </c>
      <c r="C25" s="3" t="s">
        <v>29</v>
      </c>
      <c r="D25" s="3" t="str">
        <f t="shared" si="1"/>
        <v>III.E.</v>
      </c>
      <c r="E25" s="4" t="s">
        <v>51</v>
      </c>
    </row>
    <row r="26" spans="2:5" x14ac:dyDescent="0.2">
      <c r="B26" s="3" t="s">
        <v>15</v>
      </c>
      <c r="C26" s="3" t="s">
        <v>31</v>
      </c>
      <c r="D26" s="3" t="str">
        <f t="shared" si="1"/>
        <v>III.F.</v>
      </c>
      <c r="E26" s="4" t="s">
        <v>52</v>
      </c>
    </row>
    <row r="27" spans="2:5" x14ac:dyDescent="0.2">
      <c r="B27" s="3" t="s">
        <v>15</v>
      </c>
      <c r="C27" s="3" t="s">
        <v>33</v>
      </c>
      <c r="D27" s="3" t="str">
        <f t="shared" si="1"/>
        <v>III.G.</v>
      </c>
      <c r="E27" s="4" t="s">
        <v>53</v>
      </c>
    </row>
    <row r="28" spans="2:5" x14ac:dyDescent="0.2">
      <c r="B28" s="3" t="s">
        <v>15</v>
      </c>
      <c r="C28" s="3" t="s">
        <v>35</v>
      </c>
      <c r="D28" s="3" t="str">
        <f t="shared" si="1"/>
        <v>III.H.</v>
      </c>
      <c r="E28" s="8" t="s">
        <v>54</v>
      </c>
    </row>
    <row r="29" spans="2:5" x14ac:dyDescent="0.2">
      <c r="B29" s="3" t="s">
        <v>15</v>
      </c>
      <c r="C29" s="3" t="s">
        <v>37</v>
      </c>
      <c r="D29" s="3" t="str">
        <f t="shared" si="1"/>
        <v>III.I.</v>
      </c>
      <c r="E29" s="8" t="s">
        <v>55</v>
      </c>
    </row>
    <row r="30" spans="2:5" x14ac:dyDescent="0.2">
      <c r="B30" s="3" t="s">
        <v>17</v>
      </c>
      <c r="C30" s="3" t="s">
        <v>21</v>
      </c>
      <c r="D30" s="3" t="str">
        <f t="shared" si="1"/>
        <v>IV.A.</v>
      </c>
      <c r="E30" s="8" t="s">
        <v>56</v>
      </c>
    </row>
    <row r="31" spans="2:5" x14ac:dyDescent="0.2">
      <c r="B31" s="3" t="s">
        <v>17</v>
      </c>
      <c r="C31" s="3" t="s">
        <v>23</v>
      </c>
      <c r="D31" s="3" t="str">
        <f t="shared" si="1"/>
        <v>IV.B.</v>
      </c>
      <c r="E31" s="8" t="s">
        <v>57</v>
      </c>
    </row>
    <row r="32" spans="2:5" x14ac:dyDescent="0.2">
      <c r="B32" s="3" t="s">
        <v>17</v>
      </c>
      <c r="C32" s="3" t="s">
        <v>25</v>
      </c>
      <c r="D32" s="3" t="str">
        <f t="shared" si="1"/>
        <v>IV.C.</v>
      </c>
      <c r="E32" s="8" t="s">
        <v>58</v>
      </c>
    </row>
    <row r="33" spans="2:5" x14ac:dyDescent="0.2">
      <c r="B33" s="3" t="s">
        <v>17</v>
      </c>
      <c r="C33" s="3" t="s">
        <v>27</v>
      </c>
      <c r="D33" s="3" t="str">
        <f t="shared" si="1"/>
        <v>IV.D.</v>
      </c>
      <c r="E33" s="8" t="s">
        <v>59</v>
      </c>
    </row>
    <row r="34" spans="2:5" x14ac:dyDescent="0.2">
      <c r="B34" s="3" t="s">
        <v>17</v>
      </c>
      <c r="C34" s="3" t="s">
        <v>29</v>
      </c>
      <c r="D34" s="3" t="str">
        <f t="shared" si="1"/>
        <v>IV.E.</v>
      </c>
      <c r="E34" s="8" t="s">
        <v>60</v>
      </c>
    </row>
    <row r="35" spans="2:5" x14ac:dyDescent="0.2">
      <c r="B35" s="3" t="s">
        <v>19</v>
      </c>
      <c r="C35" s="3" t="s">
        <v>21</v>
      </c>
      <c r="D35" s="3" t="str">
        <f t="shared" si="1"/>
        <v>V.A.</v>
      </c>
      <c r="E35" s="8" t="s">
        <v>61</v>
      </c>
    </row>
    <row r="36" spans="2:5" x14ac:dyDescent="0.2">
      <c r="B36" s="3" t="s">
        <v>19</v>
      </c>
      <c r="C36" s="3" t="s">
        <v>23</v>
      </c>
      <c r="D36" s="3" t="str">
        <f t="shared" si="1"/>
        <v>V.B.</v>
      </c>
      <c r="E36" s="8" t="s">
        <v>62</v>
      </c>
    </row>
    <row r="37" spans="2:5" x14ac:dyDescent="0.2">
      <c r="B37" s="3" t="s">
        <v>19</v>
      </c>
      <c r="C37" s="3" t="s">
        <v>25</v>
      </c>
      <c r="D37" s="3" t="str">
        <f t="shared" si="1"/>
        <v>V.C.</v>
      </c>
      <c r="E37" s="8" t="s">
        <v>63</v>
      </c>
    </row>
    <row r="38" spans="2:5" x14ac:dyDescent="0.2">
      <c r="B38" s="3" t="s">
        <v>19</v>
      </c>
      <c r="C38" s="3" t="s">
        <v>27</v>
      </c>
      <c r="D38" s="3" t="str">
        <f t="shared" si="1"/>
        <v>V.D.</v>
      </c>
      <c r="E38" s="8" t="s">
        <v>64</v>
      </c>
    </row>
    <row r="39" spans="2:5" x14ac:dyDescent="0.2">
      <c r="B39" s="3" t="s">
        <v>19</v>
      </c>
      <c r="C39" s="3" t="s">
        <v>29</v>
      </c>
      <c r="D39" s="3" t="str">
        <f t="shared" si="1"/>
        <v>V.E.</v>
      </c>
      <c r="E39" s="8" t="s">
        <v>65</v>
      </c>
    </row>
    <row r="40" spans="2:5" x14ac:dyDescent="0.2">
      <c r="B40" s="3" t="s">
        <v>19</v>
      </c>
      <c r="C40" s="3" t="s">
        <v>31</v>
      </c>
      <c r="D40" s="3" t="str">
        <f t="shared" si="1"/>
        <v>V.F.</v>
      </c>
      <c r="E40" s="8" t="s">
        <v>66</v>
      </c>
    </row>
    <row r="41" spans="2:5" x14ac:dyDescent="0.2">
      <c r="B41" s="3" t="s">
        <v>19</v>
      </c>
      <c r="C41" s="3" t="s">
        <v>33</v>
      </c>
      <c r="D41" s="3" t="str">
        <f t="shared" si="1"/>
        <v>V.G.</v>
      </c>
      <c r="E41" s="8" t="s">
        <v>67</v>
      </c>
    </row>
    <row r="42" spans="2:5" x14ac:dyDescent="0.2">
      <c r="B42" s="3" t="s">
        <v>19</v>
      </c>
      <c r="C42" s="3" t="s">
        <v>35</v>
      </c>
      <c r="D42" s="3" t="str">
        <f t="shared" si="1"/>
        <v>V.H.</v>
      </c>
      <c r="E42" s="8" t="s">
        <v>68</v>
      </c>
    </row>
    <row r="43" spans="2:5" x14ac:dyDescent="0.2">
      <c r="B43" s="3" t="s">
        <v>19</v>
      </c>
      <c r="C43" s="3" t="s">
        <v>37</v>
      </c>
      <c r="D43" s="3" t="str">
        <f t="shared" si="1"/>
        <v>V.I.</v>
      </c>
      <c r="E43" s="8" t="s">
        <v>69</v>
      </c>
    </row>
    <row r="44" spans="2:5" x14ac:dyDescent="0.2">
      <c r="B44" s="3" t="s">
        <v>19</v>
      </c>
      <c r="C44" s="3" t="s">
        <v>39</v>
      </c>
      <c r="D44" s="3" t="str">
        <f t="shared" si="1"/>
        <v>V.J.</v>
      </c>
      <c r="E44" s="8" t="s">
        <v>70</v>
      </c>
    </row>
    <row r="45" spans="2:5" x14ac:dyDescent="0.2">
      <c r="B45" s="3" t="s">
        <v>19</v>
      </c>
      <c r="C45" s="3" t="s">
        <v>41</v>
      </c>
      <c r="D45" s="3" t="str">
        <f t="shared" si="1"/>
        <v>V.K.</v>
      </c>
      <c r="E45" s="8" t="s">
        <v>71</v>
      </c>
    </row>
    <row r="48" spans="2:5" x14ac:dyDescent="0.2">
      <c r="B48" s="3" t="s">
        <v>72</v>
      </c>
      <c r="C48" s="9" t="s">
        <v>73</v>
      </c>
      <c r="D48" s="3" t="str">
        <f t="shared" ref="D48:D111" si="2">CONCATENATE(B48,C48)</f>
        <v>II.A.1.</v>
      </c>
      <c r="E48" s="8" t="s">
        <v>2</v>
      </c>
    </row>
    <row r="49" spans="2:5" x14ac:dyDescent="0.2">
      <c r="B49" s="3" t="s">
        <v>72</v>
      </c>
      <c r="C49" s="9" t="s">
        <v>74</v>
      </c>
      <c r="D49" s="3" t="str">
        <f t="shared" si="2"/>
        <v>II.A.2.</v>
      </c>
      <c r="E49" s="8" t="s">
        <v>75</v>
      </c>
    </row>
    <row r="50" spans="2:5" x14ac:dyDescent="0.2">
      <c r="B50" s="3" t="s">
        <v>72</v>
      </c>
      <c r="C50" s="9" t="s">
        <v>76</v>
      </c>
      <c r="D50" s="3" t="str">
        <f t="shared" si="2"/>
        <v>II.A.3.</v>
      </c>
      <c r="E50" s="8" t="s">
        <v>77</v>
      </c>
    </row>
    <row r="51" spans="2:5" x14ac:dyDescent="0.2">
      <c r="B51" s="3" t="s">
        <v>78</v>
      </c>
      <c r="C51" s="9" t="s">
        <v>79</v>
      </c>
      <c r="D51" s="3" t="str">
        <f t="shared" si="2"/>
        <v>II.B.0.</v>
      </c>
      <c r="E51" s="8" t="s">
        <v>24</v>
      </c>
    </row>
    <row r="52" spans="2:5" x14ac:dyDescent="0.2">
      <c r="B52" s="3" t="s">
        <v>80</v>
      </c>
      <c r="C52" s="9" t="s">
        <v>79</v>
      </c>
      <c r="D52" s="3" t="str">
        <f t="shared" si="2"/>
        <v>II.C.0.</v>
      </c>
      <c r="E52" s="8" t="s">
        <v>26</v>
      </c>
    </row>
    <row r="53" spans="2:5" x14ac:dyDescent="0.2">
      <c r="B53" s="3" t="s">
        <v>81</v>
      </c>
      <c r="C53" s="9" t="s">
        <v>73</v>
      </c>
      <c r="D53" s="3" t="str">
        <f t="shared" si="2"/>
        <v>II.D.1.</v>
      </c>
      <c r="E53" s="8" t="s">
        <v>82</v>
      </c>
    </row>
    <row r="54" spans="2:5" x14ac:dyDescent="0.2">
      <c r="B54" s="3" t="s">
        <v>81</v>
      </c>
      <c r="C54" s="9" t="s">
        <v>74</v>
      </c>
      <c r="D54" s="3" t="str">
        <f t="shared" si="2"/>
        <v>II.D.2.</v>
      </c>
      <c r="E54" s="8" t="s">
        <v>83</v>
      </c>
    </row>
    <row r="55" spans="2:5" x14ac:dyDescent="0.2">
      <c r="B55" s="3" t="s">
        <v>84</v>
      </c>
      <c r="C55" s="9" t="s">
        <v>73</v>
      </c>
      <c r="D55" s="3" t="str">
        <f t="shared" si="2"/>
        <v>II.E.1.</v>
      </c>
      <c r="E55" s="8" t="s">
        <v>85</v>
      </c>
    </row>
    <row r="56" spans="2:5" x14ac:dyDescent="0.2">
      <c r="B56" s="3" t="s">
        <v>84</v>
      </c>
      <c r="C56" s="9" t="s">
        <v>74</v>
      </c>
      <c r="D56" s="3" t="str">
        <f t="shared" si="2"/>
        <v>II.E.2.</v>
      </c>
      <c r="E56" s="8" t="s">
        <v>86</v>
      </c>
    </row>
    <row r="57" spans="2:5" x14ac:dyDescent="0.2">
      <c r="B57" s="3" t="s">
        <v>87</v>
      </c>
      <c r="C57" s="9" t="s">
        <v>79</v>
      </c>
      <c r="D57" s="3" t="str">
        <f t="shared" si="2"/>
        <v>II.F.0.</v>
      </c>
      <c r="E57" s="8" t="s">
        <v>32</v>
      </c>
    </row>
    <row r="58" spans="2:5" x14ac:dyDescent="0.2">
      <c r="B58" s="3" t="s">
        <v>88</v>
      </c>
      <c r="C58" s="9" t="s">
        <v>79</v>
      </c>
      <c r="D58" s="3" t="str">
        <f t="shared" si="2"/>
        <v>II.G.0.</v>
      </c>
      <c r="E58" s="8" t="s">
        <v>34</v>
      </c>
    </row>
    <row r="59" spans="2:5" x14ac:dyDescent="0.2">
      <c r="B59" s="3" t="s">
        <v>89</v>
      </c>
      <c r="C59" s="9" t="s">
        <v>73</v>
      </c>
      <c r="D59" s="3" t="str">
        <f t="shared" si="2"/>
        <v>II.H.1.</v>
      </c>
      <c r="E59" s="8" t="s">
        <v>90</v>
      </c>
    </row>
    <row r="60" spans="2:5" x14ac:dyDescent="0.2">
      <c r="B60" s="3" t="s">
        <v>89</v>
      </c>
      <c r="C60" s="9" t="s">
        <v>74</v>
      </c>
      <c r="D60" s="3" t="str">
        <f t="shared" si="2"/>
        <v>II.H.2.</v>
      </c>
      <c r="E60" s="8" t="s">
        <v>91</v>
      </c>
    </row>
    <row r="61" spans="2:5" x14ac:dyDescent="0.2">
      <c r="B61" s="3" t="s">
        <v>92</v>
      </c>
      <c r="C61" s="9" t="s">
        <v>79</v>
      </c>
      <c r="D61" s="3" t="str">
        <f t="shared" si="2"/>
        <v>II.I.0.</v>
      </c>
      <c r="E61" s="8" t="s">
        <v>38</v>
      </c>
    </row>
    <row r="62" spans="2:5" x14ac:dyDescent="0.2">
      <c r="B62" s="3" t="s">
        <v>93</v>
      </c>
      <c r="C62" s="9" t="s">
        <v>73</v>
      </c>
      <c r="D62" s="3" t="str">
        <f t="shared" si="2"/>
        <v>II.J.1.</v>
      </c>
      <c r="E62" s="8" t="s">
        <v>94</v>
      </c>
    </row>
    <row r="63" spans="2:5" x14ac:dyDescent="0.2">
      <c r="B63" s="3" t="s">
        <v>93</v>
      </c>
      <c r="C63" s="9" t="s">
        <v>74</v>
      </c>
      <c r="D63" s="3" t="str">
        <f t="shared" si="2"/>
        <v>II.J.2.</v>
      </c>
      <c r="E63" s="8" t="s">
        <v>95</v>
      </c>
    </row>
    <row r="64" spans="2:5" x14ac:dyDescent="0.2">
      <c r="B64" s="3" t="s">
        <v>93</v>
      </c>
      <c r="C64" s="9" t="s">
        <v>76</v>
      </c>
      <c r="D64" s="3" t="str">
        <f t="shared" si="2"/>
        <v>II.J.3.</v>
      </c>
      <c r="E64" s="8" t="s">
        <v>96</v>
      </c>
    </row>
    <row r="65" spans="2:5" x14ac:dyDescent="0.2">
      <c r="B65" s="3" t="s">
        <v>93</v>
      </c>
      <c r="C65" s="9" t="s">
        <v>97</v>
      </c>
      <c r="D65" s="3" t="str">
        <f t="shared" si="2"/>
        <v>II.J.4.</v>
      </c>
      <c r="E65" s="8" t="s">
        <v>98</v>
      </c>
    </row>
    <row r="66" spans="2:5" x14ac:dyDescent="0.2">
      <c r="B66" s="3" t="s">
        <v>93</v>
      </c>
      <c r="C66" s="9" t="s">
        <v>99</v>
      </c>
      <c r="D66" s="3" t="str">
        <f t="shared" si="2"/>
        <v>II.J.5.</v>
      </c>
      <c r="E66" s="8" t="s">
        <v>100</v>
      </c>
    </row>
    <row r="67" spans="2:5" x14ac:dyDescent="0.2">
      <c r="B67" s="3" t="s">
        <v>93</v>
      </c>
      <c r="C67" s="9" t="s">
        <v>101</v>
      </c>
      <c r="D67" s="3" t="str">
        <f t="shared" si="2"/>
        <v>II.J.6.</v>
      </c>
      <c r="E67" s="8" t="s">
        <v>102</v>
      </c>
    </row>
    <row r="68" spans="2:5" x14ac:dyDescent="0.2">
      <c r="B68" s="3" t="s">
        <v>93</v>
      </c>
      <c r="C68" s="9" t="s">
        <v>103</v>
      </c>
      <c r="D68" s="3" t="str">
        <f t="shared" si="2"/>
        <v>II.J.7.</v>
      </c>
      <c r="E68" s="8" t="s">
        <v>104</v>
      </c>
    </row>
    <row r="69" spans="2:5" x14ac:dyDescent="0.2">
      <c r="B69" s="3" t="s">
        <v>93</v>
      </c>
      <c r="C69" s="9" t="s">
        <v>105</v>
      </c>
      <c r="D69" s="3" t="str">
        <f t="shared" si="2"/>
        <v>II.J.8.</v>
      </c>
      <c r="E69" s="8" t="s">
        <v>106</v>
      </c>
    </row>
    <row r="70" spans="2:5" x14ac:dyDescent="0.2">
      <c r="B70" s="3" t="s">
        <v>107</v>
      </c>
      <c r="C70" s="9" t="s">
        <v>73</v>
      </c>
      <c r="D70" s="3" t="str">
        <f t="shared" si="2"/>
        <v>II.K.1.</v>
      </c>
      <c r="E70" s="8" t="s">
        <v>108</v>
      </c>
    </row>
    <row r="71" spans="2:5" x14ac:dyDescent="0.2">
      <c r="B71" s="3" t="s">
        <v>107</v>
      </c>
      <c r="C71" s="9" t="s">
        <v>74</v>
      </c>
      <c r="D71" s="3" t="str">
        <f t="shared" si="2"/>
        <v>II.K.2.</v>
      </c>
      <c r="E71" s="8" t="s">
        <v>109</v>
      </c>
    </row>
    <row r="72" spans="2:5" x14ac:dyDescent="0.2">
      <c r="B72" s="3" t="s">
        <v>110</v>
      </c>
      <c r="C72" s="9" t="s">
        <v>73</v>
      </c>
      <c r="D72" s="3" t="str">
        <f t="shared" si="2"/>
        <v>II.L.1.</v>
      </c>
      <c r="E72" s="8" t="s">
        <v>111</v>
      </c>
    </row>
    <row r="73" spans="2:5" x14ac:dyDescent="0.2">
      <c r="B73" s="3" t="s">
        <v>110</v>
      </c>
      <c r="C73" s="9" t="s">
        <v>74</v>
      </c>
      <c r="D73" s="3" t="str">
        <f t="shared" si="2"/>
        <v>II.L.2.</v>
      </c>
      <c r="E73" s="8" t="s">
        <v>112</v>
      </c>
    </row>
    <row r="74" spans="2:5" x14ac:dyDescent="0.2">
      <c r="B74" s="3" t="s">
        <v>113</v>
      </c>
      <c r="C74" s="9" t="s">
        <v>73</v>
      </c>
      <c r="D74" s="3" t="str">
        <f t="shared" si="2"/>
        <v>II.M.1.</v>
      </c>
      <c r="E74" s="8" t="s">
        <v>114</v>
      </c>
    </row>
    <row r="75" spans="2:5" x14ac:dyDescent="0.2">
      <c r="B75" s="3" t="s">
        <v>113</v>
      </c>
      <c r="C75" s="9" t="s">
        <v>74</v>
      </c>
      <c r="D75" s="3" t="str">
        <f t="shared" si="2"/>
        <v>II.M.2.</v>
      </c>
      <c r="E75" s="8" t="s">
        <v>115</v>
      </c>
    </row>
    <row r="76" spans="2:5" x14ac:dyDescent="0.2">
      <c r="B76" s="3" t="s">
        <v>113</v>
      </c>
      <c r="C76" s="9" t="s">
        <v>76</v>
      </c>
      <c r="D76" s="3" t="str">
        <f t="shared" si="2"/>
        <v>II.M.3.</v>
      </c>
      <c r="E76" s="8" t="s">
        <v>116</v>
      </c>
    </row>
    <row r="77" spans="2:5" x14ac:dyDescent="0.2">
      <c r="B77" s="3" t="s">
        <v>113</v>
      </c>
      <c r="C77" s="9" t="s">
        <v>97</v>
      </c>
      <c r="D77" s="3" t="str">
        <f t="shared" si="2"/>
        <v>II.M.4.</v>
      </c>
      <c r="E77" s="8" t="s">
        <v>117</v>
      </c>
    </row>
    <row r="78" spans="2:5" x14ac:dyDescent="0.2">
      <c r="B78" s="3" t="s">
        <v>113</v>
      </c>
      <c r="C78" s="9" t="s">
        <v>99</v>
      </c>
      <c r="D78" s="3" t="str">
        <f t="shared" si="2"/>
        <v>II.M.5.</v>
      </c>
      <c r="E78" s="8" t="s">
        <v>118</v>
      </c>
    </row>
    <row r="79" spans="2:5" x14ac:dyDescent="0.2">
      <c r="B79" s="3" t="s">
        <v>113</v>
      </c>
      <c r="C79" s="9" t="s">
        <v>101</v>
      </c>
      <c r="D79" s="3" t="str">
        <f t="shared" si="2"/>
        <v>II.M.6.</v>
      </c>
      <c r="E79" s="8" t="s">
        <v>119</v>
      </c>
    </row>
    <row r="80" spans="2:5" x14ac:dyDescent="0.2">
      <c r="B80" s="3" t="s">
        <v>113</v>
      </c>
      <c r="C80" s="9" t="s">
        <v>103</v>
      </c>
      <c r="D80" s="3" t="str">
        <f t="shared" si="2"/>
        <v>II.M.7.</v>
      </c>
      <c r="E80" s="8" t="s">
        <v>120</v>
      </c>
    </row>
    <row r="81" spans="2:5" x14ac:dyDescent="0.2">
      <c r="B81" s="3" t="s">
        <v>121</v>
      </c>
      <c r="C81" s="9" t="s">
        <v>73</v>
      </c>
      <c r="D81" s="3" t="str">
        <f t="shared" si="2"/>
        <v>III.A.1.</v>
      </c>
      <c r="E81" s="8" t="s">
        <v>122</v>
      </c>
    </row>
    <row r="82" spans="2:5" x14ac:dyDescent="0.2">
      <c r="B82" s="3" t="s">
        <v>121</v>
      </c>
      <c r="C82" s="9" t="s">
        <v>74</v>
      </c>
      <c r="D82" s="3" t="str">
        <f t="shared" si="2"/>
        <v>III.A.2.</v>
      </c>
      <c r="E82" s="8" t="s">
        <v>123</v>
      </c>
    </row>
    <row r="83" spans="2:5" x14ac:dyDescent="0.2">
      <c r="B83" s="3" t="s">
        <v>121</v>
      </c>
      <c r="C83" s="9" t="s">
        <v>76</v>
      </c>
      <c r="D83" s="3" t="str">
        <f t="shared" si="2"/>
        <v>III.A.3.</v>
      </c>
      <c r="E83" s="8" t="s">
        <v>124</v>
      </c>
    </row>
    <row r="84" spans="2:5" x14ac:dyDescent="0.2">
      <c r="B84" s="3" t="s">
        <v>125</v>
      </c>
      <c r="C84" s="9" t="s">
        <v>73</v>
      </c>
      <c r="D84" s="3" t="str">
        <f t="shared" si="2"/>
        <v>III.B.1.</v>
      </c>
      <c r="E84" s="8" t="s">
        <v>126</v>
      </c>
    </row>
    <row r="85" spans="2:5" x14ac:dyDescent="0.2">
      <c r="B85" s="3" t="s">
        <v>125</v>
      </c>
      <c r="C85" s="9" t="s">
        <v>74</v>
      </c>
      <c r="D85" s="3" t="str">
        <f t="shared" si="2"/>
        <v>III.B.2.</v>
      </c>
      <c r="E85" s="8" t="s">
        <v>127</v>
      </c>
    </row>
    <row r="86" spans="2:5" x14ac:dyDescent="0.2">
      <c r="B86" s="3" t="s">
        <v>125</v>
      </c>
      <c r="C86" s="9" t="s">
        <v>76</v>
      </c>
      <c r="D86" s="3" t="str">
        <f t="shared" si="2"/>
        <v>III.B.3.</v>
      </c>
      <c r="E86" s="8" t="s">
        <v>128</v>
      </c>
    </row>
    <row r="87" spans="2:5" x14ac:dyDescent="0.2">
      <c r="B87" s="3" t="s">
        <v>125</v>
      </c>
      <c r="C87" s="9" t="s">
        <v>97</v>
      </c>
      <c r="D87" s="3" t="str">
        <f t="shared" si="2"/>
        <v>III.B.4.</v>
      </c>
      <c r="E87" s="8" t="s">
        <v>129</v>
      </c>
    </row>
    <row r="88" spans="2:5" x14ac:dyDescent="0.2">
      <c r="B88" s="3" t="s">
        <v>125</v>
      </c>
      <c r="C88" s="9" t="s">
        <v>99</v>
      </c>
      <c r="D88" s="3" t="str">
        <f t="shared" si="2"/>
        <v>III.B.5.</v>
      </c>
      <c r="E88" s="8" t="s">
        <v>130</v>
      </c>
    </row>
    <row r="89" spans="2:5" x14ac:dyDescent="0.2">
      <c r="B89" s="3" t="s">
        <v>131</v>
      </c>
      <c r="C89" s="9" t="s">
        <v>79</v>
      </c>
      <c r="D89" s="3" t="str">
        <f t="shared" si="2"/>
        <v>III.C.0.</v>
      </c>
      <c r="E89" s="4" t="s">
        <v>49</v>
      </c>
    </row>
    <row r="90" spans="2:5" x14ac:dyDescent="0.2">
      <c r="B90" s="3" t="s">
        <v>132</v>
      </c>
      <c r="C90" s="9" t="s">
        <v>79</v>
      </c>
      <c r="D90" s="3" t="str">
        <f t="shared" si="2"/>
        <v>III.D.0.</v>
      </c>
      <c r="E90" s="4" t="s">
        <v>50</v>
      </c>
    </row>
    <row r="91" spans="2:5" x14ac:dyDescent="0.2">
      <c r="B91" s="3" t="s">
        <v>133</v>
      </c>
      <c r="C91" s="9" t="s">
        <v>79</v>
      </c>
      <c r="D91" s="3" t="str">
        <f t="shared" si="2"/>
        <v>III.E.0.</v>
      </c>
      <c r="E91" s="4" t="s">
        <v>51</v>
      </c>
    </row>
    <row r="92" spans="2:5" x14ac:dyDescent="0.2">
      <c r="B92" s="3" t="s">
        <v>134</v>
      </c>
      <c r="C92" s="9" t="s">
        <v>73</v>
      </c>
      <c r="D92" s="3" t="str">
        <f t="shared" si="2"/>
        <v>III.F.1.</v>
      </c>
      <c r="E92" s="8" t="s">
        <v>135</v>
      </c>
    </row>
    <row r="93" spans="2:5" x14ac:dyDescent="0.2">
      <c r="B93" s="3" t="s">
        <v>134</v>
      </c>
      <c r="C93" s="9" t="s">
        <v>74</v>
      </c>
      <c r="D93" s="3" t="str">
        <f t="shared" si="2"/>
        <v>III.F.2.</v>
      </c>
      <c r="E93" s="8" t="s">
        <v>136</v>
      </c>
    </row>
    <row r="94" spans="2:5" x14ac:dyDescent="0.2">
      <c r="B94" s="3" t="s">
        <v>137</v>
      </c>
      <c r="C94" s="9" t="s">
        <v>73</v>
      </c>
      <c r="D94" s="3" t="str">
        <f t="shared" si="2"/>
        <v>III.G.1.</v>
      </c>
      <c r="E94" s="8" t="s">
        <v>138</v>
      </c>
    </row>
    <row r="95" spans="2:5" x14ac:dyDescent="0.2">
      <c r="B95" s="3" t="s">
        <v>137</v>
      </c>
      <c r="C95" s="9" t="s">
        <v>74</v>
      </c>
      <c r="D95" s="3" t="str">
        <f t="shared" si="2"/>
        <v>III.G.2.</v>
      </c>
      <c r="E95" s="8" t="s">
        <v>139</v>
      </c>
    </row>
    <row r="96" spans="2:5" x14ac:dyDescent="0.2">
      <c r="B96" s="3" t="s">
        <v>137</v>
      </c>
      <c r="C96" s="9" t="s">
        <v>76</v>
      </c>
      <c r="D96" s="3" t="str">
        <f t="shared" si="2"/>
        <v>III.G.3.</v>
      </c>
      <c r="E96" s="8" t="s">
        <v>140</v>
      </c>
    </row>
    <row r="97" spans="2:5" ht="14" x14ac:dyDescent="0.2">
      <c r="B97" s="3" t="s">
        <v>141</v>
      </c>
      <c r="C97" s="9" t="s">
        <v>73</v>
      </c>
      <c r="D97" s="3" t="str">
        <f t="shared" si="2"/>
        <v>III.H.1.</v>
      </c>
      <c r="E97" s="10" t="s">
        <v>142</v>
      </c>
    </row>
    <row r="98" spans="2:5" x14ac:dyDescent="0.2">
      <c r="B98" s="3" t="s">
        <v>141</v>
      </c>
      <c r="C98" s="9" t="s">
        <v>74</v>
      </c>
      <c r="D98" s="3" t="str">
        <f t="shared" si="2"/>
        <v>III.H.2.</v>
      </c>
      <c r="E98" s="8" t="s">
        <v>143</v>
      </c>
    </row>
    <row r="99" spans="2:5" x14ac:dyDescent="0.2">
      <c r="B99" s="3" t="s">
        <v>141</v>
      </c>
      <c r="C99" s="9" t="s">
        <v>76</v>
      </c>
      <c r="D99" s="3" t="str">
        <f t="shared" si="2"/>
        <v>III.H.3.</v>
      </c>
      <c r="E99" s="8" t="s">
        <v>144</v>
      </c>
    </row>
    <row r="100" spans="2:5" x14ac:dyDescent="0.2">
      <c r="B100" s="3" t="s">
        <v>145</v>
      </c>
      <c r="C100" s="9" t="s">
        <v>73</v>
      </c>
      <c r="D100" s="3" t="str">
        <f t="shared" si="2"/>
        <v>III.I.1.</v>
      </c>
      <c r="E100" s="8" t="s">
        <v>146</v>
      </c>
    </row>
    <row r="101" spans="2:5" x14ac:dyDescent="0.2">
      <c r="B101" s="3" t="s">
        <v>145</v>
      </c>
      <c r="C101" s="9" t="s">
        <v>74</v>
      </c>
      <c r="D101" s="3" t="str">
        <f t="shared" si="2"/>
        <v>III.I.2.</v>
      </c>
      <c r="E101" s="8" t="s">
        <v>147</v>
      </c>
    </row>
    <row r="102" spans="2:5" x14ac:dyDescent="0.2">
      <c r="B102" s="3" t="s">
        <v>145</v>
      </c>
      <c r="C102" s="9" t="s">
        <v>76</v>
      </c>
      <c r="D102" s="3" t="str">
        <f t="shared" si="2"/>
        <v>III.I.3.</v>
      </c>
      <c r="E102" s="8" t="s">
        <v>148</v>
      </c>
    </row>
    <row r="103" spans="2:5" x14ac:dyDescent="0.2">
      <c r="B103" s="3" t="s">
        <v>149</v>
      </c>
      <c r="C103" s="9" t="s">
        <v>79</v>
      </c>
      <c r="D103" s="3" t="str">
        <f t="shared" si="2"/>
        <v>IV.A.0.</v>
      </c>
      <c r="E103" s="8" t="s">
        <v>56</v>
      </c>
    </row>
    <row r="104" spans="2:5" x14ac:dyDescent="0.2">
      <c r="B104" s="3" t="s">
        <v>150</v>
      </c>
      <c r="C104" s="9" t="s">
        <v>79</v>
      </c>
      <c r="D104" s="3" t="str">
        <f t="shared" si="2"/>
        <v>IV.B.0.</v>
      </c>
      <c r="E104" s="8" t="s">
        <v>57</v>
      </c>
    </row>
    <row r="105" spans="2:5" x14ac:dyDescent="0.2">
      <c r="B105" s="3" t="s">
        <v>151</v>
      </c>
      <c r="C105" s="9" t="s">
        <v>73</v>
      </c>
      <c r="D105" s="3" t="str">
        <f t="shared" si="2"/>
        <v>IV.C.1.</v>
      </c>
      <c r="E105" s="8" t="s">
        <v>152</v>
      </c>
    </row>
    <row r="106" spans="2:5" x14ac:dyDescent="0.2">
      <c r="B106" s="3" t="s">
        <v>151</v>
      </c>
      <c r="C106" s="9" t="s">
        <v>74</v>
      </c>
      <c r="D106" s="3" t="str">
        <f t="shared" si="2"/>
        <v>IV.C.2.</v>
      </c>
      <c r="E106" s="8" t="s">
        <v>153</v>
      </c>
    </row>
    <row r="107" spans="2:5" x14ac:dyDescent="0.2">
      <c r="B107" s="3" t="s">
        <v>154</v>
      </c>
      <c r="C107" s="9" t="s">
        <v>73</v>
      </c>
      <c r="D107" s="3" t="str">
        <f t="shared" si="2"/>
        <v>IV.D.1.</v>
      </c>
      <c r="E107" s="8" t="s">
        <v>155</v>
      </c>
    </row>
    <row r="108" spans="2:5" x14ac:dyDescent="0.2">
      <c r="B108" s="3" t="s">
        <v>154</v>
      </c>
      <c r="C108" s="9" t="s">
        <v>74</v>
      </c>
      <c r="D108" s="3" t="str">
        <f t="shared" si="2"/>
        <v>IV.D.2.</v>
      </c>
      <c r="E108" s="8" t="s">
        <v>156</v>
      </c>
    </row>
    <row r="109" spans="2:5" x14ac:dyDescent="0.2">
      <c r="B109" s="3" t="s">
        <v>154</v>
      </c>
      <c r="C109" s="9" t="s">
        <v>76</v>
      </c>
      <c r="D109" s="3" t="str">
        <f t="shared" si="2"/>
        <v>IV.D.3.</v>
      </c>
      <c r="E109" s="8" t="s">
        <v>157</v>
      </c>
    </row>
    <row r="110" spans="2:5" x14ac:dyDescent="0.2">
      <c r="B110" s="3" t="s">
        <v>158</v>
      </c>
      <c r="C110" s="9" t="s">
        <v>79</v>
      </c>
      <c r="D110" s="3" t="str">
        <f t="shared" si="2"/>
        <v>IV.E.0.</v>
      </c>
      <c r="E110" s="8" t="s">
        <v>60</v>
      </c>
    </row>
    <row r="111" spans="2:5" x14ac:dyDescent="0.2">
      <c r="B111" s="3" t="s">
        <v>159</v>
      </c>
      <c r="C111" s="9" t="s">
        <v>73</v>
      </c>
      <c r="D111" s="3" t="str">
        <f t="shared" si="2"/>
        <v>V.A.1.</v>
      </c>
      <c r="E111" s="8" t="s">
        <v>160</v>
      </c>
    </row>
    <row r="112" spans="2:5" x14ac:dyDescent="0.2">
      <c r="B112" s="3" t="s">
        <v>159</v>
      </c>
      <c r="C112" s="9" t="s">
        <v>74</v>
      </c>
      <c r="D112" s="3" t="str">
        <f t="shared" ref="D112:D136" si="3">CONCATENATE(B112,C112)</f>
        <v>V.A.2.</v>
      </c>
      <c r="E112" s="8" t="s">
        <v>161</v>
      </c>
    </row>
    <row r="113" spans="2:5" x14ac:dyDescent="0.2">
      <c r="B113" s="3" t="s">
        <v>162</v>
      </c>
      <c r="C113" s="9" t="s">
        <v>73</v>
      </c>
      <c r="D113" s="3" t="str">
        <f t="shared" si="3"/>
        <v>V.B.1.</v>
      </c>
      <c r="E113" s="8" t="s">
        <v>163</v>
      </c>
    </row>
    <row r="114" spans="2:5" x14ac:dyDescent="0.2">
      <c r="B114" s="3" t="s">
        <v>162</v>
      </c>
      <c r="C114" s="9" t="s">
        <v>74</v>
      </c>
      <c r="D114" s="3" t="str">
        <f t="shared" si="3"/>
        <v>V.B.2.</v>
      </c>
      <c r="E114" s="8" t="s">
        <v>164</v>
      </c>
    </row>
    <row r="115" spans="2:5" x14ac:dyDescent="0.2">
      <c r="B115" s="3" t="s">
        <v>165</v>
      </c>
      <c r="C115" s="9" t="s">
        <v>73</v>
      </c>
      <c r="D115" s="3" t="str">
        <f t="shared" si="3"/>
        <v>V.C.1.</v>
      </c>
      <c r="E115" s="8" t="s">
        <v>166</v>
      </c>
    </row>
    <row r="116" spans="2:5" x14ac:dyDescent="0.2">
      <c r="B116" s="3" t="s">
        <v>165</v>
      </c>
      <c r="C116" s="9" t="s">
        <v>74</v>
      </c>
      <c r="D116" s="3" t="str">
        <f t="shared" si="3"/>
        <v>V.C.2.</v>
      </c>
      <c r="E116" s="8" t="s">
        <v>167</v>
      </c>
    </row>
    <row r="117" spans="2:5" x14ac:dyDescent="0.2">
      <c r="B117" s="3" t="s">
        <v>168</v>
      </c>
      <c r="C117" s="9" t="s">
        <v>79</v>
      </c>
      <c r="D117" s="3" t="str">
        <f t="shared" si="3"/>
        <v>V.D.0.</v>
      </c>
      <c r="E117" s="8" t="s">
        <v>64</v>
      </c>
    </row>
    <row r="118" spans="2:5" x14ac:dyDescent="0.2">
      <c r="B118" s="3" t="s">
        <v>169</v>
      </c>
      <c r="C118" s="9" t="s">
        <v>73</v>
      </c>
      <c r="D118" s="3" t="str">
        <f t="shared" si="3"/>
        <v>V.E.1.</v>
      </c>
      <c r="E118" s="8" t="s">
        <v>170</v>
      </c>
    </row>
    <row r="119" spans="2:5" x14ac:dyDescent="0.2">
      <c r="B119" s="3" t="s">
        <v>169</v>
      </c>
      <c r="C119" s="9" t="s">
        <v>74</v>
      </c>
      <c r="D119" s="3" t="str">
        <f t="shared" si="3"/>
        <v>V.E.2.</v>
      </c>
      <c r="E119" s="8" t="s">
        <v>171</v>
      </c>
    </row>
    <row r="120" spans="2:5" x14ac:dyDescent="0.2">
      <c r="B120" s="3" t="s">
        <v>172</v>
      </c>
      <c r="C120" s="9" t="s">
        <v>73</v>
      </c>
      <c r="D120" s="3" t="str">
        <f t="shared" si="3"/>
        <v>V.F.1.</v>
      </c>
      <c r="E120" s="8" t="s">
        <v>173</v>
      </c>
    </row>
    <row r="121" spans="2:5" x14ac:dyDescent="0.2">
      <c r="B121" s="3" t="s">
        <v>172</v>
      </c>
      <c r="C121" s="9" t="s">
        <v>74</v>
      </c>
      <c r="D121" s="3" t="str">
        <f t="shared" si="3"/>
        <v>V.F.2.</v>
      </c>
      <c r="E121" s="8" t="s">
        <v>174</v>
      </c>
    </row>
    <row r="122" spans="2:5" x14ac:dyDescent="0.2">
      <c r="B122" s="3" t="s">
        <v>175</v>
      </c>
      <c r="C122" s="9" t="s">
        <v>73</v>
      </c>
      <c r="D122" s="3" t="str">
        <f t="shared" si="3"/>
        <v>V.G.1.</v>
      </c>
      <c r="E122" s="8" t="s">
        <v>176</v>
      </c>
    </row>
    <row r="123" spans="2:5" x14ac:dyDescent="0.2">
      <c r="B123" s="3" t="s">
        <v>175</v>
      </c>
      <c r="C123" s="9" t="s">
        <v>74</v>
      </c>
      <c r="D123" s="3" t="str">
        <f t="shared" si="3"/>
        <v>V.G.2.</v>
      </c>
      <c r="E123" s="8" t="s">
        <v>177</v>
      </c>
    </row>
    <row r="124" spans="2:5" x14ac:dyDescent="0.2">
      <c r="B124" s="3" t="s">
        <v>178</v>
      </c>
      <c r="C124" s="9" t="s">
        <v>73</v>
      </c>
      <c r="D124" s="3" t="str">
        <f t="shared" si="3"/>
        <v>V.H.1.</v>
      </c>
      <c r="E124" s="8" t="s">
        <v>179</v>
      </c>
    </row>
    <row r="125" spans="2:5" x14ac:dyDescent="0.2">
      <c r="B125" s="3" t="s">
        <v>178</v>
      </c>
      <c r="C125" s="9" t="s">
        <v>74</v>
      </c>
      <c r="D125" s="3" t="str">
        <f t="shared" si="3"/>
        <v>V.H.2.</v>
      </c>
      <c r="E125" s="8" t="s">
        <v>180</v>
      </c>
    </row>
    <row r="126" spans="2:5" x14ac:dyDescent="0.2">
      <c r="B126" s="3" t="s">
        <v>178</v>
      </c>
      <c r="C126" s="9" t="s">
        <v>76</v>
      </c>
      <c r="D126" s="3" t="str">
        <f t="shared" si="3"/>
        <v>V.H.3.</v>
      </c>
      <c r="E126" s="8" t="s">
        <v>181</v>
      </c>
    </row>
    <row r="127" spans="2:5" x14ac:dyDescent="0.2">
      <c r="B127" s="3" t="s">
        <v>178</v>
      </c>
      <c r="C127" s="9" t="s">
        <v>97</v>
      </c>
      <c r="D127" s="3" t="str">
        <f t="shared" si="3"/>
        <v>V.H.4.</v>
      </c>
      <c r="E127" s="8" t="s">
        <v>182</v>
      </c>
    </row>
    <row r="128" spans="2:5" x14ac:dyDescent="0.2">
      <c r="B128" s="3" t="s">
        <v>178</v>
      </c>
      <c r="C128" s="9" t="s">
        <v>99</v>
      </c>
      <c r="D128" s="3" t="str">
        <f t="shared" si="3"/>
        <v>V.H.5.</v>
      </c>
      <c r="E128" s="8" t="s">
        <v>183</v>
      </c>
    </row>
    <row r="129" spans="2:8" x14ac:dyDescent="0.2">
      <c r="B129" s="3" t="s">
        <v>178</v>
      </c>
      <c r="C129" s="9" t="s">
        <v>101</v>
      </c>
      <c r="D129" s="3" t="str">
        <f t="shared" si="3"/>
        <v>V.H.6.</v>
      </c>
      <c r="E129" s="8" t="s">
        <v>184</v>
      </c>
    </row>
    <row r="130" spans="2:8" x14ac:dyDescent="0.2">
      <c r="B130" s="3" t="s">
        <v>185</v>
      </c>
      <c r="C130" s="9" t="s">
        <v>73</v>
      </c>
      <c r="D130" s="3" t="str">
        <f t="shared" si="3"/>
        <v>V.I.1.</v>
      </c>
      <c r="E130" s="8" t="s">
        <v>186</v>
      </c>
    </row>
    <row r="131" spans="2:8" x14ac:dyDescent="0.2">
      <c r="B131" s="3" t="s">
        <v>185</v>
      </c>
      <c r="C131" s="9" t="s">
        <v>74</v>
      </c>
      <c r="D131" s="3" t="str">
        <f t="shared" si="3"/>
        <v>V.I.2.</v>
      </c>
      <c r="E131" s="8" t="s">
        <v>187</v>
      </c>
    </row>
    <row r="132" spans="2:8" x14ac:dyDescent="0.2">
      <c r="B132" s="3" t="s">
        <v>185</v>
      </c>
      <c r="C132" s="9" t="s">
        <v>76</v>
      </c>
      <c r="D132" s="3" t="str">
        <f t="shared" si="3"/>
        <v>V.I.3.</v>
      </c>
      <c r="E132" s="8" t="s">
        <v>188</v>
      </c>
    </row>
    <row r="133" spans="2:8" x14ac:dyDescent="0.2">
      <c r="B133" s="3" t="s">
        <v>189</v>
      </c>
      <c r="C133" s="9" t="s">
        <v>73</v>
      </c>
      <c r="D133" s="3" t="str">
        <f t="shared" si="3"/>
        <v>V.J.1.</v>
      </c>
      <c r="E133" s="8" t="s">
        <v>190</v>
      </c>
    </row>
    <row r="134" spans="2:8" x14ac:dyDescent="0.2">
      <c r="B134" s="3" t="s">
        <v>189</v>
      </c>
      <c r="C134" s="9" t="s">
        <v>74</v>
      </c>
      <c r="D134" s="3" t="str">
        <f t="shared" si="3"/>
        <v>V.J.2.</v>
      </c>
      <c r="E134" s="8" t="s">
        <v>191</v>
      </c>
    </row>
    <row r="135" spans="2:8" x14ac:dyDescent="0.2">
      <c r="B135" s="3" t="s">
        <v>189</v>
      </c>
      <c r="C135" s="9" t="s">
        <v>76</v>
      </c>
      <c r="D135" s="3" t="str">
        <f t="shared" si="3"/>
        <v>V.J.3.</v>
      </c>
      <c r="E135" s="8" t="s">
        <v>192</v>
      </c>
    </row>
    <row r="136" spans="2:8" x14ac:dyDescent="0.2">
      <c r="B136" s="3" t="s">
        <v>193</v>
      </c>
      <c r="C136" s="9" t="s">
        <v>79</v>
      </c>
      <c r="D136" s="3" t="str">
        <f t="shared" si="3"/>
        <v>V.K.0.</v>
      </c>
      <c r="E136" s="8" t="s">
        <v>71</v>
      </c>
    </row>
    <row r="139" spans="2:8" x14ac:dyDescent="0.2">
      <c r="B139" s="3" t="s">
        <v>194</v>
      </c>
      <c r="C139" s="9" t="s">
        <v>195</v>
      </c>
      <c r="D139" s="3" t="str">
        <f t="shared" ref="D139:D202" si="4">CONCATENATE(B139,C139)</f>
        <v>II.A.1.a.</v>
      </c>
      <c r="E139" s="8" t="s">
        <v>196</v>
      </c>
      <c r="F139" s="3">
        <v>0.5</v>
      </c>
      <c r="G139" s="3">
        <v>5</v>
      </c>
      <c r="H139" s="13" t="s">
        <v>197</v>
      </c>
    </row>
    <row r="140" spans="2:8" x14ac:dyDescent="0.2">
      <c r="B140" s="3" t="s">
        <v>194</v>
      </c>
      <c r="C140" s="9" t="s">
        <v>198</v>
      </c>
      <c r="D140" s="3" t="str">
        <f t="shared" si="4"/>
        <v>II.A.1.b.</v>
      </c>
      <c r="E140" s="8" t="s">
        <v>199</v>
      </c>
      <c r="F140" s="3">
        <v>0.25</v>
      </c>
      <c r="G140" s="3">
        <v>0.5</v>
      </c>
      <c r="H140" s="13" t="s">
        <v>197</v>
      </c>
    </row>
    <row r="141" spans="2:8" x14ac:dyDescent="0.2">
      <c r="B141" s="3" t="s">
        <v>200</v>
      </c>
      <c r="C141" s="9" t="s">
        <v>195</v>
      </c>
      <c r="D141" s="3" t="str">
        <f t="shared" si="4"/>
        <v>II.A.2.a.</v>
      </c>
      <c r="E141" s="8" t="s">
        <v>196</v>
      </c>
      <c r="F141" s="3">
        <v>1</v>
      </c>
      <c r="G141" s="3">
        <v>10</v>
      </c>
      <c r="H141" s="13" t="s">
        <v>197</v>
      </c>
    </row>
    <row r="142" spans="2:8" x14ac:dyDescent="0.2">
      <c r="B142" s="3" t="s">
        <v>200</v>
      </c>
      <c r="C142" s="9" t="s">
        <v>198</v>
      </c>
      <c r="D142" s="3" t="str">
        <f t="shared" si="4"/>
        <v>II.A.2.b.</v>
      </c>
      <c r="E142" s="8" t="s">
        <v>199</v>
      </c>
      <c r="F142" s="3">
        <v>0.5</v>
      </c>
      <c r="G142" s="3">
        <v>1</v>
      </c>
      <c r="H142" s="13" t="s">
        <v>197</v>
      </c>
    </row>
    <row r="143" spans="2:8" x14ac:dyDescent="0.2">
      <c r="B143" s="3" t="s">
        <v>201</v>
      </c>
      <c r="C143" s="9" t="s">
        <v>195</v>
      </c>
      <c r="D143" s="3" t="str">
        <f t="shared" si="4"/>
        <v>II.A.3.a.</v>
      </c>
      <c r="E143" s="8" t="s">
        <v>202</v>
      </c>
      <c r="F143" s="3">
        <v>4</v>
      </c>
      <c r="G143" s="441">
        <v>11</v>
      </c>
      <c r="H143" s="442" t="s">
        <v>197</v>
      </c>
    </row>
    <row r="144" spans="2:8" x14ac:dyDescent="0.2">
      <c r="B144" s="3" t="s">
        <v>201</v>
      </c>
      <c r="C144" s="9" t="s">
        <v>198</v>
      </c>
      <c r="D144" s="3" t="str">
        <f t="shared" si="4"/>
        <v>II.A.3.b.</v>
      </c>
      <c r="E144" s="8" t="s">
        <v>203</v>
      </c>
      <c r="F144" s="3">
        <v>2</v>
      </c>
      <c r="G144" s="441"/>
      <c r="H144" s="442"/>
    </row>
    <row r="145" spans="2:8" x14ac:dyDescent="0.2">
      <c r="B145" s="3" t="s">
        <v>201</v>
      </c>
      <c r="C145" s="9" t="s">
        <v>204</v>
      </c>
      <c r="D145" s="3" t="str">
        <f t="shared" si="4"/>
        <v>II.A.3.c.</v>
      </c>
      <c r="E145" s="8" t="s">
        <v>205</v>
      </c>
      <c r="F145" s="3">
        <v>2</v>
      </c>
      <c r="G145" s="441"/>
      <c r="H145" s="442"/>
    </row>
    <row r="146" spans="2:8" x14ac:dyDescent="0.2">
      <c r="B146" s="3" t="s">
        <v>201</v>
      </c>
      <c r="C146" s="9" t="s">
        <v>206</v>
      </c>
      <c r="D146" s="3" t="str">
        <f t="shared" si="4"/>
        <v>II.A.3.d.</v>
      </c>
      <c r="E146" s="8" t="s">
        <v>207</v>
      </c>
      <c r="F146" s="3">
        <v>3</v>
      </c>
      <c r="G146" s="441"/>
      <c r="H146" s="442"/>
    </row>
    <row r="147" spans="2:8" x14ac:dyDescent="0.2">
      <c r="B147" s="3" t="s">
        <v>201</v>
      </c>
      <c r="C147" s="9" t="s">
        <v>208</v>
      </c>
      <c r="D147" s="3" t="str">
        <f t="shared" si="4"/>
        <v>II.A.3.e.</v>
      </c>
      <c r="E147" s="8" t="s">
        <v>209</v>
      </c>
      <c r="F147" s="3">
        <v>1</v>
      </c>
      <c r="G147" s="441"/>
      <c r="H147" s="442"/>
    </row>
    <row r="148" spans="2:8" x14ac:dyDescent="0.2">
      <c r="B148" s="3" t="s">
        <v>210</v>
      </c>
      <c r="C148" s="9" t="s">
        <v>195</v>
      </c>
      <c r="D148" s="3" t="str">
        <f t="shared" si="4"/>
        <v>II.B.0.a.</v>
      </c>
      <c r="E148" s="8" t="s">
        <v>24</v>
      </c>
      <c r="F148" s="3">
        <v>1</v>
      </c>
      <c r="G148" s="3">
        <v>1</v>
      </c>
      <c r="H148" s="13" t="s">
        <v>211</v>
      </c>
    </row>
    <row r="149" spans="2:8" x14ac:dyDescent="0.2">
      <c r="B149" s="3" t="s">
        <v>212</v>
      </c>
      <c r="C149" s="9" t="s">
        <v>195</v>
      </c>
      <c r="D149" s="3" t="str">
        <f t="shared" si="4"/>
        <v>II.C.0.a.</v>
      </c>
      <c r="E149" s="8" t="s">
        <v>26</v>
      </c>
      <c r="F149" s="3">
        <v>1</v>
      </c>
      <c r="G149" s="3">
        <v>1</v>
      </c>
      <c r="H149" s="13" t="s">
        <v>197</v>
      </c>
    </row>
    <row r="150" spans="2:8" x14ac:dyDescent="0.2">
      <c r="B150" s="3" t="s">
        <v>213</v>
      </c>
      <c r="C150" s="9" t="s">
        <v>195</v>
      </c>
      <c r="D150" s="3" t="str">
        <f t="shared" si="4"/>
        <v>II.D.1.a.</v>
      </c>
      <c r="E150" s="8" t="s">
        <v>214</v>
      </c>
      <c r="F150" s="3">
        <v>8</v>
      </c>
      <c r="G150" s="3">
        <v>4</v>
      </c>
      <c r="H150" s="13" t="s">
        <v>215</v>
      </c>
    </row>
    <row r="151" spans="2:8" x14ac:dyDescent="0.2">
      <c r="B151" s="3" t="s">
        <v>213</v>
      </c>
      <c r="C151" s="9" t="s">
        <v>198</v>
      </c>
      <c r="D151" s="3" t="str">
        <f t="shared" si="4"/>
        <v>II.D.1.b.</v>
      </c>
      <c r="E151" s="8" t="s">
        <v>216</v>
      </c>
      <c r="F151" s="3">
        <v>3</v>
      </c>
      <c r="G151" s="3">
        <v>6</v>
      </c>
      <c r="H151" s="13" t="s">
        <v>215</v>
      </c>
    </row>
    <row r="152" spans="2:8" x14ac:dyDescent="0.2">
      <c r="B152" s="3" t="s">
        <v>213</v>
      </c>
      <c r="C152" s="9" t="s">
        <v>204</v>
      </c>
      <c r="D152" s="3" t="str">
        <f t="shared" si="4"/>
        <v>II.D.1.c.</v>
      </c>
      <c r="E152" s="8" t="s">
        <v>217</v>
      </c>
      <c r="F152" s="3">
        <v>1</v>
      </c>
      <c r="G152" s="3">
        <v>8</v>
      </c>
      <c r="H152" s="13" t="s">
        <v>215</v>
      </c>
    </row>
    <row r="153" spans="2:8" x14ac:dyDescent="0.2">
      <c r="B153" s="3" t="s">
        <v>213</v>
      </c>
      <c r="C153" s="9" t="s">
        <v>206</v>
      </c>
      <c r="D153" s="3" t="str">
        <f t="shared" si="4"/>
        <v>II.D.1.d.</v>
      </c>
      <c r="E153" s="8" t="s">
        <v>218</v>
      </c>
      <c r="F153" s="3">
        <v>1</v>
      </c>
      <c r="G153" s="3">
        <v>10</v>
      </c>
      <c r="H153" s="13" t="s">
        <v>215</v>
      </c>
    </row>
    <row r="154" spans="2:8" x14ac:dyDescent="0.2">
      <c r="B154" s="3" t="s">
        <v>219</v>
      </c>
      <c r="C154" s="9" t="s">
        <v>195</v>
      </c>
      <c r="D154" s="3" t="str">
        <f t="shared" si="4"/>
        <v>II.D.2.a.</v>
      </c>
      <c r="E154" s="8" t="s">
        <v>214</v>
      </c>
      <c r="F154" s="3">
        <v>6</v>
      </c>
      <c r="G154" s="3">
        <v>4</v>
      </c>
      <c r="H154" s="13" t="s">
        <v>215</v>
      </c>
    </row>
    <row r="155" spans="2:8" x14ac:dyDescent="0.2">
      <c r="B155" s="3" t="s">
        <v>219</v>
      </c>
      <c r="C155" s="9" t="s">
        <v>198</v>
      </c>
      <c r="D155" s="3" t="str">
        <f t="shared" si="4"/>
        <v>II.D.2.b.</v>
      </c>
      <c r="E155" s="8" t="s">
        <v>216</v>
      </c>
      <c r="F155" s="3">
        <v>2</v>
      </c>
      <c r="G155" s="3">
        <v>6</v>
      </c>
      <c r="H155" s="13" t="s">
        <v>215</v>
      </c>
    </row>
    <row r="156" spans="2:8" x14ac:dyDescent="0.2">
      <c r="B156" s="3" t="s">
        <v>219</v>
      </c>
      <c r="C156" s="9" t="s">
        <v>204</v>
      </c>
      <c r="D156" s="3" t="str">
        <f t="shared" si="4"/>
        <v>II.D.2.c.</v>
      </c>
      <c r="E156" s="8" t="s">
        <v>217</v>
      </c>
      <c r="F156" s="3">
        <v>0.5</v>
      </c>
      <c r="G156" s="3">
        <v>8</v>
      </c>
      <c r="H156" s="13" t="s">
        <v>215</v>
      </c>
    </row>
    <row r="157" spans="2:8" x14ac:dyDescent="0.2">
      <c r="B157" s="3" t="s">
        <v>219</v>
      </c>
      <c r="C157" s="9" t="s">
        <v>206</v>
      </c>
      <c r="D157" s="3" t="str">
        <f t="shared" si="4"/>
        <v>II.D.2.d.</v>
      </c>
      <c r="E157" s="8" t="s">
        <v>218</v>
      </c>
      <c r="F157" s="3">
        <v>0.5</v>
      </c>
      <c r="G157" s="3">
        <v>10</v>
      </c>
      <c r="H157" s="13" t="s">
        <v>215</v>
      </c>
    </row>
    <row r="158" spans="2:8" x14ac:dyDescent="0.2">
      <c r="B158" s="3" t="s">
        <v>220</v>
      </c>
      <c r="C158" s="9" t="s">
        <v>195</v>
      </c>
      <c r="D158" s="3" t="str">
        <f t="shared" si="4"/>
        <v>II.E.1.a.</v>
      </c>
      <c r="E158" s="8" t="s">
        <v>85</v>
      </c>
      <c r="F158" s="3">
        <v>1</v>
      </c>
      <c r="G158" s="3">
        <v>4</v>
      </c>
      <c r="H158" s="13" t="s">
        <v>215</v>
      </c>
    </row>
    <row r="159" spans="2:8" x14ac:dyDescent="0.2">
      <c r="B159" s="3" t="s">
        <v>221</v>
      </c>
      <c r="C159" s="9" t="s">
        <v>195</v>
      </c>
      <c r="D159" s="3" t="str">
        <f t="shared" si="4"/>
        <v>II.E.2.a.</v>
      </c>
      <c r="E159" s="8" t="s">
        <v>86</v>
      </c>
      <c r="F159" s="3">
        <v>0.5</v>
      </c>
      <c r="G159" s="3">
        <v>8</v>
      </c>
      <c r="H159" s="13" t="s">
        <v>215</v>
      </c>
    </row>
    <row r="160" spans="2:8" x14ac:dyDescent="0.2">
      <c r="B160" s="3" t="s">
        <v>222</v>
      </c>
      <c r="C160" s="9" t="s">
        <v>195</v>
      </c>
      <c r="D160" s="3" t="str">
        <f t="shared" si="4"/>
        <v>II.F.0.a.</v>
      </c>
      <c r="E160" s="8" t="s">
        <v>32</v>
      </c>
      <c r="F160" s="3">
        <v>2</v>
      </c>
      <c r="G160" s="3">
        <v>2</v>
      </c>
      <c r="H160" s="13" t="s">
        <v>223</v>
      </c>
    </row>
    <row r="161" spans="2:8" x14ac:dyDescent="0.2">
      <c r="B161" s="3" t="s">
        <v>224</v>
      </c>
      <c r="C161" s="9" t="s">
        <v>195</v>
      </c>
      <c r="D161" s="3" t="str">
        <f t="shared" si="4"/>
        <v>II.G.0.a.</v>
      </c>
      <c r="E161" s="8" t="s">
        <v>34</v>
      </c>
      <c r="F161" s="3">
        <v>2</v>
      </c>
      <c r="G161" s="3">
        <v>1</v>
      </c>
      <c r="H161" s="13" t="s">
        <v>225</v>
      </c>
    </row>
    <row r="162" spans="2:8" x14ac:dyDescent="0.2">
      <c r="B162" s="3" t="s">
        <v>226</v>
      </c>
      <c r="C162" s="9" t="s">
        <v>195</v>
      </c>
      <c r="D162" s="3" t="str">
        <f t="shared" si="4"/>
        <v>II.H.1.a.</v>
      </c>
      <c r="E162" s="8" t="s">
        <v>90</v>
      </c>
      <c r="F162" s="3">
        <v>20</v>
      </c>
      <c r="G162" s="3">
        <v>1</v>
      </c>
      <c r="H162" s="13" t="s">
        <v>227</v>
      </c>
    </row>
    <row r="163" spans="2:8" x14ac:dyDescent="0.2">
      <c r="B163" s="3" t="s">
        <v>228</v>
      </c>
      <c r="C163" s="9" t="s">
        <v>195</v>
      </c>
      <c r="D163" s="3" t="str">
        <f t="shared" si="4"/>
        <v>II.H.2.a.</v>
      </c>
      <c r="E163" s="8" t="s">
        <v>91</v>
      </c>
      <c r="F163" s="3">
        <v>5</v>
      </c>
      <c r="G163" s="3">
        <v>1</v>
      </c>
      <c r="H163" s="13" t="s">
        <v>229</v>
      </c>
    </row>
    <row r="164" spans="2:8" x14ac:dyDescent="0.2">
      <c r="B164" s="3" t="s">
        <v>230</v>
      </c>
      <c r="C164" s="9" t="s">
        <v>195</v>
      </c>
      <c r="D164" s="3" t="str">
        <f t="shared" si="4"/>
        <v>II.I.0.a.</v>
      </c>
      <c r="E164" s="8" t="s">
        <v>38</v>
      </c>
      <c r="F164" s="3">
        <v>5</v>
      </c>
      <c r="G164" s="3">
        <v>2</v>
      </c>
      <c r="H164" s="13" t="s">
        <v>231</v>
      </c>
    </row>
    <row r="165" spans="2:8" x14ac:dyDescent="0.2">
      <c r="B165" s="3" t="s">
        <v>232</v>
      </c>
      <c r="C165" s="9" t="s">
        <v>195</v>
      </c>
      <c r="D165" s="3" t="str">
        <f t="shared" si="4"/>
        <v>II.J.1.a.</v>
      </c>
      <c r="E165" s="8" t="s">
        <v>94</v>
      </c>
      <c r="F165" s="3">
        <v>6</v>
      </c>
      <c r="G165" s="443">
        <v>1</v>
      </c>
      <c r="H165" s="443" t="s">
        <v>233</v>
      </c>
    </row>
    <row r="166" spans="2:8" x14ac:dyDescent="0.2">
      <c r="B166" s="3" t="s">
        <v>234</v>
      </c>
      <c r="C166" s="9" t="s">
        <v>195</v>
      </c>
      <c r="D166" s="3" t="str">
        <f t="shared" si="4"/>
        <v>II.J.2.a.</v>
      </c>
      <c r="E166" s="8" t="s">
        <v>95</v>
      </c>
      <c r="F166" s="3">
        <v>5</v>
      </c>
      <c r="G166" s="444"/>
      <c r="H166" s="444"/>
    </row>
    <row r="167" spans="2:8" x14ac:dyDescent="0.2">
      <c r="B167" s="3" t="s">
        <v>235</v>
      </c>
      <c r="C167" s="9" t="s">
        <v>195</v>
      </c>
      <c r="D167" s="3" t="str">
        <f t="shared" si="4"/>
        <v>II.J.3.a.</v>
      </c>
      <c r="E167" s="8" t="s">
        <v>96</v>
      </c>
      <c r="F167" s="3">
        <v>4</v>
      </c>
      <c r="G167" s="444"/>
      <c r="H167" s="444"/>
    </row>
    <row r="168" spans="2:8" x14ac:dyDescent="0.2">
      <c r="B168" s="3" t="s">
        <v>236</v>
      </c>
      <c r="C168" s="9" t="s">
        <v>195</v>
      </c>
      <c r="D168" s="3" t="str">
        <f t="shared" si="4"/>
        <v>II.J.4.a.</v>
      </c>
      <c r="E168" s="8" t="s">
        <v>98</v>
      </c>
      <c r="F168" s="3">
        <v>4</v>
      </c>
      <c r="G168" s="444"/>
      <c r="H168" s="444"/>
    </row>
    <row r="169" spans="2:8" x14ac:dyDescent="0.2">
      <c r="B169" s="3" t="s">
        <v>237</v>
      </c>
      <c r="C169" s="9" t="s">
        <v>195</v>
      </c>
      <c r="D169" s="3" t="str">
        <f t="shared" si="4"/>
        <v>II.J.5.a.</v>
      </c>
      <c r="E169" s="8" t="s">
        <v>100</v>
      </c>
      <c r="F169" s="3">
        <v>4</v>
      </c>
      <c r="G169" s="444"/>
      <c r="H169" s="444"/>
    </row>
    <row r="170" spans="2:8" x14ac:dyDescent="0.2">
      <c r="B170" s="3" t="s">
        <v>238</v>
      </c>
      <c r="C170" s="9" t="s">
        <v>195</v>
      </c>
      <c r="D170" s="3" t="str">
        <f t="shared" si="4"/>
        <v>II.J.6.a.</v>
      </c>
      <c r="E170" s="8" t="s">
        <v>102</v>
      </c>
      <c r="F170" s="3">
        <v>3</v>
      </c>
      <c r="G170" s="444"/>
      <c r="H170" s="444"/>
    </row>
    <row r="171" spans="2:8" x14ac:dyDescent="0.2">
      <c r="B171" s="3" t="s">
        <v>239</v>
      </c>
      <c r="C171" s="9" t="s">
        <v>195</v>
      </c>
      <c r="D171" s="3" t="str">
        <f t="shared" si="4"/>
        <v>II.J.7.a.</v>
      </c>
      <c r="E171" s="8" t="s">
        <v>104</v>
      </c>
      <c r="F171" s="3">
        <v>3</v>
      </c>
      <c r="G171" s="444"/>
      <c r="H171" s="444"/>
    </row>
    <row r="172" spans="2:8" x14ac:dyDescent="0.2">
      <c r="B172" s="3" t="s">
        <v>240</v>
      </c>
      <c r="C172" s="9" t="s">
        <v>195</v>
      </c>
      <c r="D172" s="3" t="str">
        <f t="shared" si="4"/>
        <v>II.J.8.a.</v>
      </c>
      <c r="E172" s="8" t="s">
        <v>106</v>
      </c>
      <c r="F172" s="3">
        <v>3</v>
      </c>
      <c r="G172" s="445"/>
      <c r="H172" s="445"/>
    </row>
    <row r="173" spans="2:8" x14ac:dyDescent="0.2">
      <c r="B173" s="3" t="s">
        <v>241</v>
      </c>
      <c r="C173" s="9" t="s">
        <v>195</v>
      </c>
      <c r="D173" s="3" t="str">
        <f t="shared" si="4"/>
        <v>II.K.1.a.</v>
      </c>
      <c r="E173" s="8" t="s">
        <v>108</v>
      </c>
      <c r="F173" s="3">
        <v>2</v>
      </c>
      <c r="G173" s="3">
        <v>1</v>
      </c>
      <c r="H173" s="13" t="s">
        <v>242</v>
      </c>
    </row>
    <row r="174" spans="2:8" x14ac:dyDescent="0.2">
      <c r="B174" s="3" t="s">
        <v>243</v>
      </c>
      <c r="C174" s="9" t="s">
        <v>195</v>
      </c>
      <c r="D174" s="3" t="str">
        <f t="shared" si="4"/>
        <v>II.K.2.a.</v>
      </c>
      <c r="E174" s="8" t="s">
        <v>109</v>
      </c>
      <c r="F174" s="3">
        <v>1</v>
      </c>
      <c r="G174" s="3">
        <v>1</v>
      </c>
      <c r="H174" s="13" t="s">
        <v>242</v>
      </c>
    </row>
    <row r="175" spans="2:8" x14ac:dyDescent="0.2">
      <c r="B175" s="3" t="s">
        <v>244</v>
      </c>
      <c r="C175" s="9" t="s">
        <v>195</v>
      </c>
      <c r="D175" s="3" t="str">
        <f t="shared" si="4"/>
        <v>II.L.1.a.</v>
      </c>
      <c r="E175" s="8" t="s">
        <v>111</v>
      </c>
      <c r="F175" s="3">
        <v>5</v>
      </c>
      <c r="G175" s="3">
        <v>1</v>
      </c>
      <c r="H175" s="13" t="s">
        <v>242</v>
      </c>
    </row>
    <row r="176" spans="2:8" x14ac:dyDescent="0.2">
      <c r="B176" s="3" t="s">
        <v>245</v>
      </c>
      <c r="C176" s="9" t="s">
        <v>195</v>
      </c>
      <c r="D176" s="3" t="str">
        <f t="shared" si="4"/>
        <v>II.L.2.a.</v>
      </c>
      <c r="E176" s="8" t="s">
        <v>112</v>
      </c>
      <c r="F176" s="3">
        <v>4</v>
      </c>
      <c r="G176" s="3">
        <v>1</v>
      </c>
      <c r="H176" s="13" t="s">
        <v>242</v>
      </c>
    </row>
    <row r="177" spans="2:8" x14ac:dyDescent="0.2">
      <c r="B177" s="3" t="s">
        <v>246</v>
      </c>
      <c r="C177" s="9" t="s">
        <v>195</v>
      </c>
      <c r="D177" s="3" t="str">
        <f t="shared" si="4"/>
        <v>II.M.1.a.</v>
      </c>
      <c r="E177" s="8" t="s">
        <v>114</v>
      </c>
      <c r="F177" s="3">
        <v>15</v>
      </c>
      <c r="G177" s="3"/>
      <c r="H177" s="13"/>
    </row>
    <row r="178" spans="2:8" x14ac:dyDescent="0.2">
      <c r="B178" s="3" t="s">
        <v>247</v>
      </c>
      <c r="C178" s="9" t="s">
        <v>195</v>
      </c>
      <c r="D178" s="3" t="str">
        <f t="shared" si="4"/>
        <v>II.M.2.a.</v>
      </c>
      <c r="E178" s="8" t="s">
        <v>115</v>
      </c>
      <c r="F178" s="3">
        <v>9</v>
      </c>
      <c r="G178" s="3"/>
      <c r="H178" s="13"/>
    </row>
    <row r="179" spans="2:8" x14ac:dyDescent="0.2">
      <c r="B179" s="3" t="s">
        <v>248</v>
      </c>
      <c r="C179" s="9" t="s">
        <v>195</v>
      </c>
      <c r="D179" s="3" t="str">
        <f t="shared" si="4"/>
        <v>II.M.3.a.</v>
      </c>
      <c r="E179" s="8" t="s">
        <v>116</v>
      </c>
      <c r="F179" s="3">
        <v>6</v>
      </c>
      <c r="G179" s="3"/>
      <c r="H179" s="13"/>
    </row>
    <row r="180" spans="2:8" x14ac:dyDescent="0.2">
      <c r="B180" s="3" t="s">
        <v>249</v>
      </c>
      <c r="C180" s="9" t="s">
        <v>195</v>
      </c>
      <c r="D180" s="3" t="str">
        <f t="shared" si="4"/>
        <v>II.M.4.a.</v>
      </c>
      <c r="E180" s="8" t="s">
        <v>117</v>
      </c>
      <c r="F180" s="3">
        <v>3</v>
      </c>
      <c r="G180" s="3"/>
      <c r="H180" s="13"/>
    </row>
    <row r="181" spans="2:8" x14ac:dyDescent="0.2">
      <c r="B181" s="3" t="s">
        <v>250</v>
      </c>
      <c r="C181" s="9" t="s">
        <v>195</v>
      </c>
      <c r="D181" s="3" t="str">
        <f t="shared" si="4"/>
        <v>II.M.5.a.</v>
      </c>
      <c r="E181" s="8" t="s">
        <v>118</v>
      </c>
      <c r="F181" s="3">
        <v>2</v>
      </c>
      <c r="G181" s="3"/>
      <c r="H181" s="13"/>
    </row>
    <row r="182" spans="2:8" x14ac:dyDescent="0.2">
      <c r="B182" s="3" t="s">
        <v>251</v>
      </c>
      <c r="C182" s="9" t="s">
        <v>195</v>
      </c>
      <c r="D182" s="3" t="str">
        <f t="shared" si="4"/>
        <v>II.M.6.a.</v>
      </c>
      <c r="E182" s="8" t="s">
        <v>119</v>
      </c>
      <c r="F182" s="3">
        <v>1</v>
      </c>
      <c r="G182" s="3"/>
      <c r="H182" s="13"/>
    </row>
    <row r="183" spans="2:8" x14ac:dyDescent="0.2">
      <c r="B183" s="3" t="s">
        <v>252</v>
      </c>
      <c r="C183" s="9" t="s">
        <v>195</v>
      </c>
      <c r="D183" s="3" t="str">
        <f t="shared" si="4"/>
        <v>II.M.7.a.</v>
      </c>
      <c r="E183" s="8" t="s">
        <v>120</v>
      </c>
      <c r="F183" s="3">
        <v>0.5</v>
      </c>
      <c r="G183" s="3"/>
      <c r="H183" s="13"/>
    </row>
    <row r="184" spans="2:8" x14ac:dyDescent="0.2">
      <c r="B184" s="3" t="s">
        <v>253</v>
      </c>
      <c r="C184" s="9" t="s">
        <v>195</v>
      </c>
      <c r="D184" s="3" t="str">
        <f t="shared" si="4"/>
        <v>III.A.1.a.</v>
      </c>
      <c r="E184" s="8" t="s">
        <v>254</v>
      </c>
      <c r="F184" s="3">
        <v>40</v>
      </c>
      <c r="G184" s="3"/>
      <c r="H184" s="13"/>
    </row>
    <row r="185" spans="2:8" x14ac:dyDescent="0.2">
      <c r="B185" s="3" t="s">
        <v>253</v>
      </c>
      <c r="C185" s="9" t="s">
        <v>198</v>
      </c>
      <c r="D185" s="3" t="str">
        <f t="shared" si="4"/>
        <v>III.A.1.b.</v>
      </c>
      <c r="E185" s="8" t="s">
        <v>255</v>
      </c>
      <c r="F185" s="3">
        <v>20</v>
      </c>
      <c r="G185" s="3"/>
      <c r="H185" s="13"/>
    </row>
    <row r="186" spans="2:8" x14ac:dyDescent="0.2">
      <c r="B186" s="3" t="s">
        <v>256</v>
      </c>
      <c r="C186" s="9" t="s">
        <v>195</v>
      </c>
      <c r="D186" s="3" t="str">
        <f t="shared" si="4"/>
        <v>III.A.2.a.</v>
      </c>
      <c r="E186" s="8" t="s">
        <v>257</v>
      </c>
      <c r="F186" s="3">
        <v>15</v>
      </c>
      <c r="G186" s="3"/>
      <c r="H186" s="13"/>
    </row>
    <row r="187" spans="2:8" x14ac:dyDescent="0.2">
      <c r="B187" s="3" t="s">
        <v>256</v>
      </c>
      <c r="C187" s="9" t="s">
        <v>198</v>
      </c>
      <c r="D187" s="3" t="str">
        <f t="shared" si="4"/>
        <v>III.A.2.b.</v>
      </c>
      <c r="E187" s="8" t="s">
        <v>136</v>
      </c>
      <c r="F187" s="3">
        <v>10</v>
      </c>
      <c r="G187" s="3"/>
      <c r="H187" s="13"/>
    </row>
    <row r="188" spans="2:8" x14ac:dyDescent="0.2">
      <c r="B188" s="3" t="s">
        <v>258</v>
      </c>
      <c r="C188" s="9" t="s">
        <v>195</v>
      </c>
      <c r="D188" s="3" t="str">
        <f t="shared" si="4"/>
        <v>III.A.3.a.</v>
      </c>
      <c r="E188" s="8" t="s">
        <v>259</v>
      </c>
      <c r="F188" s="3">
        <v>40</v>
      </c>
      <c r="G188" s="3"/>
      <c r="H188" s="13"/>
    </row>
    <row r="189" spans="2:8" x14ac:dyDescent="0.2">
      <c r="B189" s="3" t="s">
        <v>258</v>
      </c>
      <c r="C189" s="9" t="s">
        <v>198</v>
      </c>
      <c r="D189" s="3" t="str">
        <f t="shared" si="4"/>
        <v>III.A.3.b.</v>
      </c>
      <c r="E189" s="8" t="s">
        <v>260</v>
      </c>
      <c r="F189" s="3">
        <v>30</v>
      </c>
      <c r="G189" s="3"/>
      <c r="H189" s="13"/>
    </row>
    <row r="190" spans="2:8" x14ac:dyDescent="0.2">
      <c r="B190" s="3" t="s">
        <v>258</v>
      </c>
      <c r="C190" s="9" t="s">
        <v>204</v>
      </c>
      <c r="D190" s="3" t="str">
        <f t="shared" si="4"/>
        <v>III.A.3.c.</v>
      </c>
      <c r="E190" s="8" t="s">
        <v>261</v>
      </c>
      <c r="F190" s="3">
        <v>20</v>
      </c>
      <c r="G190" s="3"/>
      <c r="H190" s="13"/>
    </row>
    <row r="191" spans="2:8" x14ac:dyDescent="0.2">
      <c r="B191" s="3" t="s">
        <v>258</v>
      </c>
      <c r="C191" s="9" t="s">
        <v>206</v>
      </c>
      <c r="D191" s="3" t="str">
        <f t="shared" si="4"/>
        <v>III.A.3.d.</v>
      </c>
      <c r="E191" s="8" t="s">
        <v>262</v>
      </c>
      <c r="F191" s="3">
        <v>25</v>
      </c>
      <c r="G191" s="3"/>
      <c r="H191" s="13"/>
    </row>
    <row r="192" spans="2:8" x14ac:dyDescent="0.2">
      <c r="B192" s="3" t="s">
        <v>258</v>
      </c>
      <c r="C192" s="9" t="s">
        <v>263</v>
      </c>
      <c r="D192" s="3" t="str">
        <f t="shared" si="4"/>
        <v>III.A.3.e1.</v>
      </c>
      <c r="E192" s="8" t="s">
        <v>264</v>
      </c>
      <c r="F192" s="3">
        <v>15</v>
      </c>
      <c r="G192" s="3"/>
      <c r="H192" s="13"/>
    </row>
    <row r="193" spans="2:8" x14ac:dyDescent="0.2">
      <c r="B193" s="3" t="s">
        <v>258</v>
      </c>
      <c r="C193" s="9" t="s">
        <v>265</v>
      </c>
      <c r="D193" s="3" t="str">
        <f t="shared" si="4"/>
        <v>III.A.3.e2.</v>
      </c>
      <c r="E193" s="8" t="s">
        <v>266</v>
      </c>
      <c r="F193" s="3">
        <v>20</v>
      </c>
      <c r="G193" s="3"/>
      <c r="H193" s="13"/>
    </row>
    <row r="194" spans="2:8" x14ac:dyDescent="0.2">
      <c r="B194" s="3" t="s">
        <v>258</v>
      </c>
      <c r="C194" s="9" t="s">
        <v>267</v>
      </c>
      <c r="D194" s="3" t="str">
        <f t="shared" si="4"/>
        <v>III.A.3.f.</v>
      </c>
      <c r="E194" s="8" t="s">
        <v>268</v>
      </c>
      <c r="F194" s="3">
        <v>10</v>
      </c>
      <c r="G194" s="3"/>
      <c r="H194" s="13"/>
    </row>
    <row r="195" spans="2:8" x14ac:dyDescent="0.2">
      <c r="B195" s="3" t="s">
        <v>258</v>
      </c>
      <c r="C195" s="9" t="s">
        <v>269</v>
      </c>
      <c r="D195" s="3" t="str">
        <f t="shared" si="4"/>
        <v>III.A.3.g.</v>
      </c>
      <c r="E195" s="8" t="s">
        <v>270</v>
      </c>
      <c r="F195" s="3">
        <v>10</v>
      </c>
      <c r="G195" s="3"/>
      <c r="H195" s="13"/>
    </row>
    <row r="196" spans="2:8" x14ac:dyDescent="0.2">
      <c r="B196" s="3" t="s">
        <v>271</v>
      </c>
      <c r="C196" s="9" t="s">
        <v>195</v>
      </c>
      <c r="D196" s="3" t="str">
        <f t="shared" si="4"/>
        <v>III.B.1.a.</v>
      </c>
      <c r="E196" s="8" t="s">
        <v>257</v>
      </c>
      <c r="F196" s="3">
        <v>15</v>
      </c>
      <c r="G196" s="3"/>
      <c r="H196" s="13"/>
    </row>
    <row r="197" spans="2:8" x14ac:dyDescent="0.2">
      <c r="B197" s="3" t="s">
        <v>271</v>
      </c>
      <c r="C197" s="9" t="s">
        <v>198</v>
      </c>
      <c r="D197" s="3" t="str">
        <f t="shared" si="4"/>
        <v>III.B.1.b.</v>
      </c>
      <c r="E197" s="8" t="s">
        <v>136</v>
      </c>
      <c r="F197" s="3">
        <v>10</v>
      </c>
      <c r="G197" s="3"/>
      <c r="H197" s="13"/>
    </row>
    <row r="198" spans="2:8" x14ac:dyDescent="0.2">
      <c r="B198" s="3" t="s">
        <v>272</v>
      </c>
      <c r="C198" s="9" t="s">
        <v>195</v>
      </c>
      <c r="D198" s="3" t="str">
        <f t="shared" si="4"/>
        <v>III.B.2.a.</v>
      </c>
      <c r="E198" s="8" t="s">
        <v>257</v>
      </c>
      <c r="F198" s="3">
        <v>10</v>
      </c>
      <c r="G198" s="3"/>
      <c r="H198" s="13"/>
    </row>
    <row r="199" spans="2:8" x14ac:dyDescent="0.2">
      <c r="B199" s="3" t="s">
        <v>272</v>
      </c>
      <c r="C199" s="9" t="s">
        <v>198</v>
      </c>
      <c r="D199" s="3" t="str">
        <f t="shared" si="4"/>
        <v>III.B.2.b.</v>
      </c>
      <c r="E199" s="8" t="s">
        <v>136</v>
      </c>
      <c r="F199" s="3">
        <v>5</v>
      </c>
      <c r="G199" s="3"/>
      <c r="H199" s="13"/>
    </row>
    <row r="200" spans="2:8" x14ac:dyDescent="0.2">
      <c r="B200" s="3" t="s">
        <v>273</v>
      </c>
      <c r="C200" s="9" t="s">
        <v>195</v>
      </c>
      <c r="D200" s="3" t="str">
        <f t="shared" si="4"/>
        <v>III.B.3.a.</v>
      </c>
      <c r="E200" s="8" t="s">
        <v>257</v>
      </c>
      <c r="F200" s="3">
        <v>5</v>
      </c>
      <c r="G200" s="3"/>
      <c r="H200" s="13"/>
    </row>
    <row r="201" spans="2:8" x14ac:dyDescent="0.2">
      <c r="B201" s="3" t="s">
        <v>273</v>
      </c>
      <c r="C201" s="9" t="s">
        <v>198</v>
      </c>
      <c r="D201" s="3" t="str">
        <f t="shared" si="4"/>
        <v>III.B.3.b.</v>
      </c>
      <c r="E201" s="8" t="s">
        <v>136</v>
      </c>
      <c r="F201" s="3">
        <v>3</v>
      </c>
      <c r="G201" s="3"/>
      <c r="H201" s="13"/>
    </row>
    <row r="202" spans="2:8" x14ac:dyDescent="0.2">
      <c r="B202" s="3" t="s">
        <v>274</v>
      </c>
      <c r="C202" s="9" t="s">
        <v>195</v>
      </c>
      <c r="D202" s="3" t="str">
        <f t="shared" si="4"/>
        <v>III.B.4.a.</v>
      </c>
      <c r="E202" s="8" t="s">
        <v>257</v>
      </c>
      <c r="F202" s="3">
        <v>10</v>
      </c>
      <c r="G202" s="3"/>
      <c r="H202" s="13"/>
    </row>
    <row r="203" spans="2:8" x14ac:dyDescent="0.2">
      <c r="B203" s="3" t="s">
        <v>274</v>
      </c>
      <c r="C203" s="9" t="s">
        <v>198</v>
      </c>
      <c r="D203" s="3" t="str">
        <f t="shared" ref="D203:D277" si="5">CONCATENATE(B203,C203)</f>
        <v>III.B.4.b.</v>
      </c>
      <c r="E203" s="8" t="s">
        <v>136</v>
      </c>
      <c r="F203" s="3">
        <v>5</v>
      </c>
      <c r="G203" s="3"/>
      <c r="H203" s="13"/>
    </row>
    <row r="204" spans="2:8" x14ac:dyDescent="0.2">
      <c r="B204" s="3" t="s">
        <v>275</v>
      </c>
      <c r="C204" s="9" t="s">
        <v>195</v>
      </c>
      <c r="D204" s="3" t="str">
        <f t="shared" si="5"/>
        <v>III.B.5.a.</v>
      </c>
      <c r="E204" s="4" t="s">
        <v>130</v>
      </c>
      <c r="F204" s="3">
        <v>1</v>
      </c>
      <c r="G204" s="3"/>
      <c r="H204" s="13"/>
    </row>
    <row r="205" spans="2:8" x14ac:dyDescent="0.2">
      <c r="B205" s="3" t="s">
        <v>276</v>
      </c>
      <c r="C205" s="9" t="s">
        <v>195</v>
      </c>
      <c r="D205" s="3" t="str">
        <f t="shared" si="5"/>
        <v>III.C.0.a.</v>
      </c>
      <c r="E205" s="4" t="s">
        <v>49</v>
      </c>
      <c r="F205" s="3">
        <v>2</v>
      </c>
      <c r="G205" s="3"/>
      <c r="H205" s="13"/>
    </row>
    <row r="206" spans="2:8" x14ac:dyDescent="0.2">
      <c r="B206" s="3" t="s">
        <v>277</v>
      </c>
      <c r="C206" s="9" t="s">
        <v>195</v>
      </c>
      <c r="D206" s="3" t="str">
        <f t="shared" si="5"/>
        <v>III.D.0.a.</v>
      </c>
      <c r="E206" s="4" t="s">
        <v>50</v>
      </c>
      <c r="F206" s="3">
        <v>15</v>
      </c>
      <c r="G206" s="3"/>
      <c r="H206" s="13"/>
    </row>
    <row r="207" spans="2:8" x14ac:dyDescent="0.2">
      <c r="B207" s="3" t="s">
        <v>278</v>
      </c>
      <c r="C207" s="9" t="s">
        <v>195</v>
      </c>
      <c r="D207" s="3" t="str">
        <f t="shared" si="5"/>
        <v>III.E.0.a.</v>
      </c>
      <c r="E207" s="4" t="s">
        <v>51</v>
      </c>
      <c r="F207" s="3">
        <v>10</v>
      </c>
      <c r="G207" s="3"/>
      <c r="H207" s="13"/>
    </row>
    <row r="208" spans="2:8" x14ac:dyDescent="0.2">
      <c r="B208" s="3" t="s">
        <v>279</v>
      </c>
      <c r="C208" s="9" t="s">
        <v>195</v>
      </c>
      <c r="D208" s="3" t="str">
        <f t="shared" si="5"/>
        <v>III.F.1.a.</v>
      </c>
      <c r="E208" s="4" t="s">
        <v>135</v>
      </c>
      <c r="F208" s="3">
        <v>60</v>
      </c>
      <c r="G208" s="3"/>
      <c r="H208" s="13"/>
    </row>
    <row r="209" spans="2:8" x14ac:dyDescent="0.2">
      <c r="B209" s="3" t="s">
        <v>280</v>
      </c>
      <c r="C209" s="9" t="s">
        <v>195</v>
      </c>
      <c r="D209" s="3" t="str">
        <f t="shared" si="5"/>
        <v>III.F.2.a.</v>
      </c>
      <c r="E209" s="4" t="s">
        <v>136</v>
      </c>
      <c r="F209" s="3">
        <v>40</v>
      </c>
      <c r="G209" s="3"/>
      <c r="H209" s="13"/>
    </row>
    <row r="210" spans="2:8" x14ac:dyDescent="0.2">
      <c r="B210" s="3" t="s">
        <v>281</v>
      </c>
      <c r="C210" s="9" t="s">
        <v>195</v>
      </c>
      <c r="D210" s="3" t="str">
        <f t="shared" si="5"/>
        <v>III.G.1.a.</v>
      </c>
      <c r="E210" s="4" t="s">
        <v>138</v>
      </c>
      <c r="F210" s="3">
        <v>20</v>
      </c>
      <c r="G210" s="3"/>
      <c r="H210" s="13"/>
    </row>
    <row r="211" spans="2:8" x14ac:dyDescent="0.2">
      <c r="B211" s="3" t="s">
        <v>282</v>
      </c>
      <c r="C211" s="9" t="s">
        <v>195</v>
      </c>
      <c r="D211" s="3" t="str">
        <f t="shared" si="5"/>
        <v>III.G.2.a.</v>
      </c>
      <c r="E211" s="4" t="s">
        <v>139</v>
      </c>
      <c r="F211" s="3">
        <v>15</v>
      </c>
      <c r="G211" s="3"/>
      <c r="H211" s="13"/>
    </row>
    <row r="212" spans="2:8" x14ac:dyDescent="0.2">
      <c r="B212" s="3" t="s">
        <v>283</v>
      </c>
      <c r="C212" s="9" t="s">
        <v>195</v>
      </c>
      <c r="D212" s="3" t="str">
        <f t="shared" si="5"/>
        <v>III.G.3.a.</v>
      </c>
      <c r="E212" s="4" t="s">
        <v>140</v>
      </c>
      <c r="F212" s="3">
        <v>10</v>
      </c>
      <c r="G212" s="3"/>
      <c r="H212" s="13"/>
    </row>
    <row r="213" spans="2:8" x14ac:dyDescent="0.2">
      <c r="B213" s="3" t="s">
        <v>284</v>
      </c>
      <c r="C213" s="9" t="s">
        <v>195</v>
      </c>
      <c r="D213" s="3" t="str">
        <f t="shared" si="5"/>
        <v>III.H.1.a.</v>
      </c>
      <c r="E213" s="4" t="s">
        <v>257</v>
      </c>
      <c r="F213" s="3">
        <v>20</v>
      </c>
      <c r="G213" s="3"/>
      <c r="H213" s="13"/>
    </row>
    <row r="214" spans="2:8" x14ac:dyDescent="0.2">
      <c r="B214" s="3" t="s">
        <v>284</v>
      </c>
      <c r="C214" s="9" t="s">
        <v>198</v>
      </c>
      <c r="D214" s="3" t="str">
        <f t="shared" si="5"/>
        <v>III.H.1.b.</v>
      </c>
      <c r="E214" s="4" t="s">
        <v>136</v>
      </c>
      <c r="F214" s="3">
        <v>15</v>
      </c>
      <c r="G214" s="3"/>
      <c r="H214" s="13"/>
    </row>
    <row r="215" spans="2:8" x14ac:dyDescent="0.2">
      <c r="B215" s="3" t="s">
        <v>284</v>
      </c>
      <c r="C215" s="9" t="s">
        <v>204</v>
      </c>
      <c r="D215" s="3" t="str">
        <f t="shared" si="5"/>
        <v>III.H.1.c.</v>
      </c>
      <c r="E215" s="4" t="s">
        <v>285</v>
      </c>
      <c r="F215" s="3">
        <v>10</v>
      </c>
      <c r="G215" s="3"/>
      <c r="H215" s="13"/>
    </row>
    <row r="216" spans="2:8" x14ac:dyDescent="0.2">
      <c r="B216" s="3" t="s">
        <v>286</v>
      </c>
      <c r="C216" s="9" t="s">
        <v>195</v>
      </c>
      <c r="D216" s="3" t="str">
        <f t="shared" si="5"/>
        <v>III.H.2.a.</v>
      </c>
      <c r="E216" s="4" t="s">
        <v>257</v>
      </c>
      <c r="F216" s="3">
        <v>10</v>
      </c>
      <c r="G216" s="3"/>
      <c r="H216" s="13"/>
    </row>
    <row r="217" spans="2:8" x14ac:dyDescent="0.2">
      <c r="B217" s="3" t="s">
        <v>286</v>
      </c>
      <c r="C217" s="9" t="s">
        <v>198</v>
      </c>
      <c r="D217" s="3" t="str">
        <f t="shared" si="5"/>
        <v>III.H.2.b.</v>
      </c>
      <c r="E217" s="4" t="s">
        <v>136</v>
      </c>
      <c r="F217" s="3">
        <v>6</v>
      </c>
      <c r="G217" s="3"/>
      <c r="H217" s="13"/>
    </row>
    <row r="218" spans="2:8" x14ac:dyDescent="0.2">
      <c r="B218" s="3" t="s">
        <v>286</v>
      </c>
      <c r="C218" s="9" t="s">
        <v>204</v>
      </c>
      <c r="D218" s="3" t="str">
        <f t="shared" si="5"/>
        <v>III.H.2.c.</v>
      </c>
      <c r="E218" s="4" t="s">
        <v>285</v>
      </c>
      <c r="F218" s="3">
        <v>3</v>
      </c>
      <c r="G218" s="3"/>
      <c r="H218" s="13"/>
    </row>
    <row r="219" spans="2:8" x14ac:dyDescent="0.2">
      <c r="B219" s="3" t="s">
        <v>287</v>
      </c>
      <c r="C219" s="9" t="s">
        <v>195</v>
      </c>
      <c r="D219" s="3" t="str">
        <f t="shared" si="5"/>
        <v>III.H.3.a.</v>
      </c>
      <c r="E219" s="4" t="s">
        <v>257</v>
      </c>
      <c r="F219" s="3">
        <v>6</v>
      </c>
      <c r="G219" s="3"/>
      <c r="H219" s="13"/>
    </row>
    <row r="220" spans="2:8" x14ac:dyDescent="0.2">
      <c r="B220" s="3" t="s">
        <v>287</v>
      </c>
      <c r="C220" s="9" t="s">
        <v>198</v>
      </c>
      <c r="D220" s="3" t="str">
        <f t="shared" si="5"/>
        <v>III.H.3.b.</v>
      </c>
      <c r="E220" s="4" t="s">
        <v>136</v>
      </c>
      <c r="F220" s="3">
        <v>4</v>
      </c>
      <c r="G220" s="3"/>
      <c r="H220" s="13"/>
    </row>
    <row r="221" spans="2:8" x14ac:dyDescent="0.2">
      <c r="B221" s="3" t="s">
        <v>287</v>
      </c>
      <c r="C221" s="9" t="s">
        <v>204</v>
      </c>
      <c r="D221" s="3" t="str">
        <f t="shared" si="5"/>
        <v>III.H.3.c.</v>
      </c>
      <c r="E221" s="4" t="s">
        <v>285</v>
      </c>
      <c r="F221" s="3">
        <v>2</v>
      </c>
      <c r="G221" s="3"/>
      <c r="H221" s="13"/>
    </row>
    <row r="222" spans="2:8" x14ac:dyDescent="0.2">
      <c r="B222" s="3" t="s">
        <v>288</v>
      </c>
      <c r="C222" s="9" t="s">
        <v>195</v>
      </c>
      <c r="D222" s="3" t="str">
        <f t="shared" si="5"/>
        <v>III.I.1.a.</v>
      </c>
      <c r="E222" s="4" t="s">
        <v>257</v>
      </c>
      <c r="F222" s="3">
        <v>20</v>
      </c>
      <c r="G222" s="3"/>
      <c r="H222" s="13"/>
    </row>
    <row r="223" spans="2:8" x14ac:dyDescent="0.2">
      <c r="B223" s="3" t="s">
        <v>288</v>
      </c>
      <c r="C223" s="9" t="s">
        <v>198</v>
      </c>
      <c r="D223" s="3" t="str">
        <f t="shared" si="5"/>
        <v>III.I.1.b.</v>
      </c>
      <c r="E223" s="4" t="s">
        <v>136</v>
      </c>
      <c r="F223" s="3">
        <v>15</v>
      </c>
      <c r="G223" s="3"/>
      <c r="H223" s="13"/>
    </row>
    <row r="224" spans="2:8" x14ac:dyDescent="0.2">
      <c r="B224" s="3" t="s">
        <v>288</v>
      </c>
      <c r="C224" s="9" t="s">
        <v>204</v>
      </c>
      <c r="D224" s="3" t="str">
        <f t="shared" si="5"/>
        <v>III.I.1.c.</v>
      </c>
      <c r="E224" s="4" t="s">
        <v>285</v>
      </c>
      <c r="F224" s="3">
        <v>10</v>
      </c>
      <c r="G224" s="3"/>
      <c r="H224" s="13"/>
    </row>
    <row r="225" spans="2:8" x14ac:dyDescent="0.2">
      <c r="B225" s="3" t="s">
        <v>289</v>
      </c>
      <c r="C225" s="9" t="s">
        <v>195</v>
      </c>
      <c r="D225" s="3" t="str">
        <f t="shared" si="5"/>
        <v>III.I.2.a.</v>
      </c>
      <c r="E225" s="4" t="s">
        <v>257</v>
      </c>
      <c r="F225" s="3">
        <v>20</v>
      </c>
      <c r="G225" s="3"/>
      <c r="H225" s="13"/>
    </row>
    <row r="226" spans="2:8" x14ac:dyDescent="0.2">
      <c r="B226" s="3" t="s">
        <v>289</v>
      </c>
      <c r="C226" s="9" t="s">
        <v>198</v>
      </c>
      <c r="D226" s="3" t="str">
        <f t="shared" si="5"/>
        <v>III.I.2.b.</v>
      </c>
      <c r="E226" s="4" t="s">
        <v>136</v>
      </c>
      <c r="F226" s="3">
        <v>15</v>
      </c>
      <c r="G226" s="3"/>
      <c r="H226" s="13"/>
    </row>
    <row r="227" spans="2:8" x14ac:dyDescent="0.2">
      <c r="B227" s="3" t="s">
        <v>289</v>
      </c>
      <c r="C227" s="9" t="s">
        <v>204</v>
      </c>
      <c r="D227" s="3" t="str">
        <f t="shared" si="5"/>
        <v>III.I.2.c.</v>
      </c>
      <c r="E227" s="4" t="s">
        <v>285</v>
      </c>
      <c r="F227" s="3">
        <v>10</v>
      </c>
      <c r="G227" s="3"/>
      <c r="H227" s="13"/>
    </row>
    <row r="228" spans="2:8" x14ac:dyDescent="0.2">
      <c r="B228" s="3" t="s">
        <v>290</v>
      </c>
      <c r="C228" s="9" t="s">
        <v>195</v>
      </c>
      <c r="D228" s="3" t="str">
        <f t="shared" si="5"/>
        <v>III.I.3.a.</v>
      </c>
      <c r="E228" s="4" t="s">
        <v>257</v>
      </c>
      <c r="F228" s="3">
        <v>20</v>
      </c>
      <c r="G228" s="3"/>
      <c r="H228" s="13"/>
    </row>
    <row r="229" spans="2:8" x14ac:dyDescent="0.2">
      <c r="B229" s="3" t="s">
        <v>290</v>
      </c>
      <c r="C229" s="9" t="s">
        <v>198</v>
      </c>
      <c r="D229" s="3" t="str">
        <f t="shared" si="5"/>
        <v>III.I.3.b.</v>
      </c>
      <c r="E229" s="4" t="s">
        <v>136</v>
      </c>
      <c r="F229" s="3">
        <v>15</v>
      </c>
      <c r="G229" s="3"/>
      <c r="H229" s="13"/>
    </row>
    <row r="230" spans="2:8" x14ac:dyDescent="0.2">
      <c r="B230" s="3" t="s">
        <v>290</v>
      </c>
      <c r="C230" s="9" t="s">
        <v>204</v>
      </c>
      <c r="D230" s="3" t="str">
        <f t="shared" si="5"/>
        <v>III.I.3.c.</v>
      </c>
      <c r="E230" s="4" t="s">
        <v>285</v>
      </c>
      <c r="F230" s="3">
        <v>10</v>
      </c>
      <c r="G230" s="3"/>
      <c r="H230" s="13"/>
    </row>
    <row r="231" spans="2:8" x14ac:dyDescent="0.2">
      <c r="B231" s="3" t="s">
        <v>291</v>
      </c>
      <c r="C231" s="9" t="s">
        <v>195</v>
      </c>
      <c r="D231" s="3" t="str">
        <f t="shared" si="5"/>
        <v>IV.A.0.a.</v>
      </c>
      <c r="E231" s="4" t="s">
        <v>56</v>
      </c>
      <c r="F231" s="3">
        <v>5.5</v>
      </c>
      <c r="G231" s="3"/>
      <c r="H231" s="13"/>
    </row>
    <row r="232" spans="2:8" x14ac:dyDescent="0.2">
      <c r="B232" s="3" t="s">
        <v>292</v>
      </c>
      <c r="C232" s="9" t="s">
        <v>195</v>
      </c>
      <c r="D232" s="3" t="str">
        <f t="shared" si="5"/>
        <v>IV.B.0.a.</v>
      </c>
      <c r="E232" s="4" t="s">
        <v>57</v>
      </c>
      <c r="F232" s="3">
        <v>3</v>
      </c>
      <c r="G232" s="3"/>
      <c r="H232" s="13"/>
    </row>
    <row r="233" spans="2:8" x14ac:dyDescent="0.2">
      <c r="B233" s="3" t="s">
        <v>293</v>
      </c>
      <c r="C233" s="9" t="s">
        <v>195</v>
      </c>
      <c r="D233" s="3" t="str">
        <f t="shared" si="5"/>
        <v>IV.C.1.a.</v>
      </c>
      <c r="E233" s="4" t="s">
        <v>294</v>
      </c>
      <c r="F233" s="3">
        <v>4</v>
      </c>
      <c r="G233" s="3"/>
      <c r="H233" s="13"/>
    </row>
    <row r="234" spans="2:8" x14ac:dyDescent="0.2">
      <c r="B234" s="3" t="s">
        <v>293</v>
      </c>
      <c r="C234" s="9" t="s">
        <v>198</v>
      </c>
      <c r="D234" s="3" t="str">
        <f t="shared" si="5"/>
        <v>IV.C.1.b.</v>
      </c>
      <c r="E234" s="4" t="s">
        <v>295</v>
      </c>
      <c r="F234" s="3">
        <v>3</v>
      </c>
      <c r="G234" s="3"/>
      <c r="H234" s="13"/>
    </row>
    <row r="235" spans="2:8" x14ac:dyDescent="0.2">
      <c r="B235" s="3" t="s">
        <v>293</v>
      </c>
      <c r="C235" s="9" t="s">
        <v>204</v>
      </c>
      <c r="D235" s="3" t="str">
        <f t="shared" si="5"/>
        <v>IV.C.1.c.</v>
      </c>
      <c r="E235" s="4" t="s">
        <v>296</v>
      </c>
      <c r="F235" s="3">
        <v>2</v>
      </c>
      <c r="G235" s="3"/>
      <c r="H235" s="13"/>
    </row>
    <row r="236" spans="2:8" x14ac:dyDescent="0.2">
      <c r="B236" s="3" t="s">
        <v>297</v>
      </c>
      <c r="C236" s="9" t="s">
        <v>195</v>
      </c>
      <c r="D236" s="3" t="str">
        <f t="shared" si="5"/>
        <v>IV.C.2.a.</v>
      </c>
      <c r="E236" s="4" t="s">
        <v>294</v>
      </c>
      <c r="F236" s="3">
        <v>3</v>
      </c>
      <c r="G236" s="3"/>
      <c r="H236" s="13"/>
    </row>
    <row r="237" spans="2:8" x14ac:dyDescent="0.2">
      <c r="B237" s="3" t="s">
        <v>297</v>
      </c>
      <c r="C237" s="9" t="s">
        <v>198</v>
      </c>
      <c r="D237" s="3" t="str">
        <f t="shared" si="5"/>
        <v>IV.C.2.b.</v>
      </c>
      <c r="E237" s="4" t="s">
        <v>295</v>
      </c>
      <c r="F237" s="3">
        <v>2</v>
      </c>
      <c r="G237" s="3"/>
      <c r="H237" s="13"/>
    </row>
    <row r="238" spans="2:8" x14ac:dyDescent="0.2">
      <c r="B238" s="3" t="s">
        <v>297</v>
      </c>
      <c r="C238" s="9" t="s">
        <v>204</v>
      </c>
      <c r="D238" s="3" t="str">
        <f t="shared" si="5"/>
        <v>IV.C.2.c.</v>
      </c>
      <c r="E238" s="4" t="s">
        <v>296</v>
      </c>
      <c r="F238" s="3">
        <v>1</v>
      </c>
      <c r="G238" s="3"/>
      <c r="H238" s="13"/>
    </row>
    <row r="239" spans="2:8" x14ac:dyDescent="0.2">
      <c r="B239" s="3" t="s">
        <v>297</v>
      </c>
      <c r="C239" s="9" t="s">
        <v>206</v>
      </c>
      <c r="D239" s="3" t="str">
        <f t="shared" si="5"/>
        <v>IV.C.2.d.</v>
      </c>
      <c r="E239" s="4" t="s">
        <v>298</v>
      </c>
      <c r="F239" s="3">
        <v>1</v>
      </c>
      <c r="G239" s="3"/>
      <c r="H239" s="13"/>
    </row>
    <row r="240" spans="2:8" x14ac:dyDescent="0.2">
      <c r="B240" s="3" t="s">
        <v>299</v>
      </c>
      <c r="C240" s="9" t="s">
        <v>195</v>
      </c>
      <c r="D240" s="3" t="str">
        <f t="shared" si="5"/>
        <v>IV.D.1.a.</v>
      </c>
      <c r="E240" s="4" t="s">
        <v>155</v>
      </c>
      <c r="F240" s="3">
        <v>1.5</v>
      </c>
      <c r="G240" s="3"/>
      <c r="H240" s="13"/>
    </row>
    <row r="241" spans="2:8" x14ac:dyDescent="0.2">
      <c r="B241" s="3" t="s">
        <v>300</v>
      </c>
      <c r="C241" s="9" t="s">
        <v>195</v>
      </c>
      <c r="D241" s="3" t="str">
        <f t="shared" si="5"/>
        <v>IV.D.2.a.</v>
      </c>
      <c r="E241" s="4" t="s">
        <v>156</v>
      </c>
      <c r="F241" s="3">
        <v>1</v>
      </c>
      <c r="G241" s="3"/>
      <c r="H241" s="13"/>
    </row>
    <row r="242" spans="2:8" x14ac:dyDescent="0.2">
      <c r="B242" s="3" t="s">
        <v>301</v>
      </c>
      <c r="C242" s="9" t="s">
        <v>195</v>
      </c>
      <c r="D242" s="3" t="str">
        <f t="shared" si="5"/>
        <v>IV.D.3.a.</v>
      </c>
      <c r="E242" s="4" t="s">
        <v>157</v>
      </c>
      <c r="F242" s="3">
        <v>0.5</v>
      </c>
      <c r="G242" s="3"/>
      <c r="H242" s="13"/>
    </row>
    <row r="243" spans="2:8" x14ac:dyDescent="0.2">
      <c r="B243" s="3" t="s">
        <v>302</v>
      </c>
      <c r="C243" s="9" t="s">
        <v>195</v>
      </c>
      <c r="D243" s="3" t="str">
        <f t="shared" si="5"/>
        <v>IV.E.0.a.</v>
      </c>
      <c r="E243" s="4" t="s">
        <v>60</v>
      </c>
      <c r="F243" s="3">
        <v>3</v>
      </c>
      <c r="G243" s="3"/>
      <c r="H243" s="13"/>
    </row>
    <row r="244" spans="2:8" x14ac:dyDescent="0.2">
      <c r="B244" s="3" t="s">
        <v>303</v>
      </c>
      <c r="C244" s="9" t="s">
        <v>195</v>
      </c>
      <c r="D244" s="3" t="str">
        <f t="shared" si="5"/>
        <v>V.A.1.a.</v>
      </c>
      <c r="E244" s="4" t="s">
        <v>160</v>
      </c>
      <c r="F244" s="3">
        <v>3</v>
      </c>
      <c r="G244" s="3"/>
      <c r="H244" s="13"/>
    </row>
    <row r="245" spans="2:8" x14ac:dyDescent="0.2">
      <c r="B245" s="3" t="s">
        <v>304</v>
      </c>
      <c r="C245" s="9" t="s">
        <v>195</v>
      </c>
      <c r="D245" s="3" t="str">
        <f t="shared" si="5"/>
        <v>V.A.2.a.</v>
      </c>
      <c r="E245" s="4" t="s">
        <v>161</v>
      </c>
      <c r="F245" s="3">
        <v>2</v>
      </c>
      <c r="G245" s="3"/>
      <c r="H245" s="13"/>
    </row>
    <row r="246" spans="2:8" x14ac:dyDescent="0.2">
      <c r="B246" s="3" t="s">
        <v>305</v>
      </c>
      <c r="C246" s="9" t="s">
        <v>195</v>
      </c>
      <c r="D246" s="3" t="str">
        <f t="shared" si="5"/>
        <v>V.B.1.a.</v>
      </c>
      <c r="E246" s="4" t="s">
        <v>306</v>
      </c>
      <c r="F246" s="3">
        <v>3</v>
      </c>
      <c r="G246" s="3"/>
      <c r="H246" s="13"/>
    </row>
    <row r="247" spans="2:8" x14ac:dyDescent="0.2">
      <c r="B247" s="3" t="s">
        <v>305</v>
      </c>
      <c r="C247" s="9" t="s">
        <v>198</v>
      </c>
      <c r="D247" s="3" t="str">
        <f t="shared" si="5"/>
        <v>V.B.1.b.</v>
      </c>
      <c r="E247" s="4" t="s">
        <v>307</v>
      </c>
      <c r="F247" s="3">
        <v>2</v>
      </c>
      <c r="G247" s="3"/>
      <c r="H247" s="13"/>
    </row>
    <row r="248" spans="2:8" x14ac:dyDescent="0.2">
      <c r="B248" s="3" t="s">
        <v>308</v>
      </c>
      <c r="C248" s="9" t="s">
        <v>195</v>
      </c>
      <c r="D248" s="3" t="str">
        <f t="shared" si="5"/>
        <v>V.B.2.a.</v>
      </c>
      <c r="E248" s="4" t="s">
        <v>306</v>
      </c>
      <c r="F248" s="3">
        <v>2</v>
      </c>
      <c r="G248" s="3"/>
      <c r="H248" s="13"/>
    </row>
    <row r="249" spans="2:8" x14ac:dyDescent="0.2">
      <c r="B249" s="3" t="s">
        <v>308</v>
      </c>
      <c r="C249" s="9" t="s">
        <v>198</v>
      </c>
      <c r="D249" s="3" t="str">
        <f t="shared" si="5"/>
        <v>V.B.2.b.</v>
      </c>
      <c r="E249" s="4" t="s">
        <v>307</v>
      </c>
      <c r="F249" s="3">
        <v>1</v>
      </c>
      <c r="G249" s="3"/>
      <c r="H249" s="13"/>
    </row>
    <row r="250" spans="2:8" x14ac:dyDescent="0.2">
      <c r="B250" s="3" t="s">
        <v>309</v>
      </c>
      <c r="C250" s="9" t="s">
        <v>195</v>
      </c>
      <c r="D250" s="3" t="str">
        <f t="shared" si="5"/>
        <v>V.C.1.a.</v>
      </c>
      <c r="E250" s="4" t="s">
        <v>310</v>
      </c>
      <c r="F250" s="3">
        <v>2</v>
      </c>
      <c r="G250" s="3"/>
      <c r="H250" s="13"/>
    </row>
    <row r="251" spans="2:8" x14ac:dyDescent="0.2">
      <c r="B251" s="3" t="s">
        <v>309</v>
      </c>
      <c r="C251" s="9" t="s">
        <v>198</v>
      </c>
      <c r="D251" s="3" t="str">
        <f t="shared" si="5"/>
        <v>V.C.1.b.</v>
      </c>
      <c r="E251" s="4" t="s">
        <v>311</v>
      </c>
      <c r="F251" s="3">
        <v>1</v>
      </c>
      <c r="G251" s="3"/>
      <c r="H251" s="13"/>
    </row>
    <row r="252" spans="2:8" x14ac:dyDescent="0.2">
      <c r="B252" s="3" t="s">
        <v>309</v>
      </c>
      <c r="C252" s="9" t="s">
        <v>204</v>
      </c>
      <c r="D252" s="3" t="str">
        <f t="shared" si="5"/>
        <v>V.C.1.c.</v>
      </c>
      <c r="E252" s="4" t="s">
        <v>312</v>
      </c>
      <c r="F252" s="3">
        <v>0.5</v>
      </c>
      <c r="G252" s="3"/>
      <c r="H252" s="13"/>
    </row>
    <row r="253" spans="2:8" x14ac:dyDescent="0.2">
      <c r="B253" s="3" t="s">
        <v>313</v>
      </c>
      <c r="C253" s="9" t="s">
        <v>195</v>
      </c>
      <c r="D253" s="3" t="str">
        <f t="shared" si="5"/>
        <v>V.C.2.a.</v>
      </c>
      <c r="E253" s="4" t="s">
        <v>314</v>
      </c>
      <c r="F253" s="3">
        <v>1.5</v>
      </c>
      <c r="G253" s="3"/>
      <c r="H253" s="13"/>
    </row>
    <row r="254" spans="2:8" x14ac:dyDescent="0.2">
      <c r="B254" s="3" t="s">
        <v>313</v>
      </c>
      <c r="C254" s="9" t="s">
        <v>198</v>
      </c>
      <c r="D254" s="3" t="str">
        <f t="shared" si="5"/>
        <v>V.C.2.b.</v>
      </c>
      <c r="E254" s="4" t="s">
        <v>315</v>
      </c>
      <c r="F254" s="3">
        <v>1</v>
      </c>
      <c r="G254" s="3"/>
      <c r="H254" s="13"/>
    </row>
    <row r="255" spans="2:8" x14ac:dyDescent="0.2">
      <c r="B255" s="3" t="s">
        <v>313</v>
      </c>
      <c r="C255" s="9" t="s">
        <v>204</v>
      </c>
      <c r="D255" s="3" t="str">
        <f t="shared" si="5"/>
        <v>V.C.2.c.</v>
      </c>
      <c r="E255" s="4" t="s">
        <v>316</v>
      </c>
      <c r="F255" s="3">
        <v>0.5</v>
      </c>
      <c r="G255" s="3"/>
      <c r="H255" s="13"/>
    </row>
    <row r="256" spans="2:8" x14ac:dyDescent="0.2">
      <c r="B256" s="3" t="s">
        <v>317</v>
      </c>
      <c r="C256" s="9" t="s">
        <v>195</v>
      </c>
      <c r="D256" s="3" t="str">
        <f t="shared" si="5"/>
        <v>V.D.0.a.</v>
      </c>
      <c r="E256" s="4" t="s">
        <v>64</v>
      </c>
      <c r="F256" s="3">
        <v>1</v>
      </c>
      <c r="G256" s="3"/>
      <c r="H256" s="13"/>
    </row>
    <row r="257" spans="2:8" x14ac:dyDescent="0.2">
      <c r="B257" s="3" t="s">
        <v>318</v>
      </c>
      <c r="C257" s="9" t="s">
        <v>195</v>
      </c>
      <c r="D257" s="3" t="str">
        <f t="shared" si="5"/>
        <v>V.E.1.a.</v>
      </c>
      <c r="E257" s="4" t="s">
        <v>170</v>
      </c>
      <c r="F257" s="3">
        <v>3</v>
      </c>
      <c r="G257" s="3"/>
      <c r="H257" s="13"/>
    </row>
    <row r="258" spans="2:8" x14ac:dyDescent="0.2">
      <c r="B258" s="3" t="s">
        <v>319</v>
      </c>
      <c r="C258" s="9" t="s">
        <v>195</v>
      </c>
      <c r="D258" s="3" t="str">
        <f t="shared" si="5"/>
        <v>V.E.2.a.</v>
      </c>
      <c r="E258" s="4" t="s">
        <v>171</v>
      </c>
      <c r="F258" s="3">
        <v>2</v>
      </c>
      <c r="G258" s="3"/>
      <c r="H258" s="13"/>
    </row>
    <row r="259" spans="2:8" x14ac:dyDescent="0.2">
      <c r="B259" s="3" t="s">
        <v>320</v>
      </c>
      <c r="C259" s="9" t="s">
        <v>195</v>
      </c>
      <c r="D259" s="3" t="str">
        <f t="shared" si="5"/>
        <v>V.F.1.a.</v>
      </c>
      <c r="E259" s="4" t="s">
        <v>173</v>
      </c>
      <c r="F259" s="3">
        <v>4</v>
      </c>
      <c r="G259" s="3"/>
      <c r="H259" s="13"/>
    </row>
    <row r="260" spans="2:8" x14ac:dyDescent="0.2">
      <c r="B260" s="3" t="s">
        <v>321</v>
      </c>
      <c r="C260" s="9" t="s">
        <v>195</v>
      </c>
      <c r="D260" s="3" t="str">
        <f t="shared" si="5"/>
        <v>V.F.2.a.</v>
      </c>
      <c r="E260" s="4" t="s">
        <v>174</v>
      </c>
      <c r="F260" s="3">
        <v>2</v>
      </c>
      <c r="G260" s="3"/>
      <c r="H260" s="13"/>
    </row>
    <row r="261" spans="2:8" x14ac:dyDescent="0.2">
      <c r="B261" s="3" t="s">
        <v>322</v>
      </c>
      <c r="C261" s="9" t="s">
        <v>195</v>
      </c>
      <c r="D261" s="3" t="str">
        <f t="shared" si="5"/>
        <v>V.G.1.a.</v>
      </c>
      <c r="E261" s="4" t="s">
        <v>323</v>
      </c>
      <c r="F261" s="3">
        <v>3</v>
      </c>
      <c r="G261" s="3"/>
      <c r="H261" s="13"/>
    </row>
    <row r="262" spans="2:8" x14ac:dyDescent="0.2">
      <c r="B262" s="3" t="s">
        <v>322</v>
      </c>
      <c r="C262" s="9" t="s">
        <v>198</v>
      </c>
      <c r="D262" s="3" t="str">
        <f t="shared" si="5"/>
        <v>V.G.1.b.</v>
      </c>
      <c r="E262" s="4" t="s">
        <v>324</v>
      </c>
      <c r="F262" s="3">
        <v>2</v>
      </c>
      <c r="G262" s="3"/>
      <c r="H262" s="13"/>
    </row>
    <row r="263" spans="2:8" x14ac:dyDescent="0.2">
      <c r="B263" s="3" t="s">
        <v>325</v>
      </c>
      <c r="C263" s="9" t="s">
        <v>195</v>
      </c>
      <c r="D263" s="3" t="str">
        <f t="shared" si="5"/>
        <v>V.G.2.a.</v>
      </c>
      <c r="E263" s="4" t="s">
        <v>323</v>
      </c>
      <c r="F263" s="3">
        <v>2</v>
      </c>
      <c r="G263" s="3"/>
      <c r="H263" s="13"/>
    </row>
    <row r="264" spans="2:8" x14ac:dyDescent="0.2">
      <c r="B264" s="3" t="s">
        <v>325</v>
      </c>
      <c r="C264" s="9" t="s">
        <v>198</v>
      </c>
      <c r="D264" s="3" t="str">
        <f t="shared" si="5"/>
        <v>V.G.2.b.</v>
      </c>
      <c r="E264" s="4" t="s">
        <v>324</v>
      </c>
      <c r="F264" s="3">
        <v>1</v>
      </c>
      <c r="G264" s="3"/>
      <c r="H264" s="13"/>
    </row>
    <row r="265" spans="2:8" x14ac:dyDescent="0.2">
      <c r="B265" s="3" t="s">
        <v>326</v>
      </c>
      <c r="C265" s="9" t="s">
        <v>195</v>
      </c>
      <c r="D265" s="3" t="str">
        <f t="shared" si="5"/>
        <v>V.H.1.a.</v>
      </c>
      <c r="E265" s="4" t="s">
        <v>179</v>
      </c>
      <c r="F265" s="3">
        <v>3</v>
      </c>
      <c r="G265" s="3"/>
      <c r="H265" s="13"/>
    </row>
    <row r="266" spans="2:8" x14ac:dyDescent="0.2">
      <c r="B266" s="3" t="s">
        <v>327</v>
      </c>
      <c r="C266" s="9" t="s">
        <v>195</v>
      </c>
      <c r="D266" s="3" t="str">
        <f t="shared" si="5"/>
        <v>V.H.2.a.</v>
      </c>
      <c r="E266" s="4" t="s">
        <v>180</v>
      </c>
      <c r="F266" s="3">
        <v>2</v>
      </c>
      <c r="G266" s="3"/>
      <c r="H266" s="13"/>
    </row>
    <row r="267" spans="2:8" x14ac:dyDescent="0.2">
      <c r="B267" s="3" t="s">
        <v>328</v>
      </c>
      <c r="C267" s="9" t="s">
        <v>195</v>
      </c>
      <c r="D267" s="3" t="str">
        <f t="shared" si="5"/>
        <v>V.H.3.a.</v>
      </c>
      <c r="E267" s="4" t="s">
        <v>181</v>
      </c>
      <c r="F267" s="3">
        <v>1</v>
      </c>
      <c r="G267" s="3"/>
      <c r="H267" s="13"/>
    </row>
    <row r="268" spans="2:8" x14ac:dyDescent="0.2">
      <c r="B268" s="3" t="s">
        <v>329</v>
      </c>
      <c r="C268" s="9" t="s">
        <v>195</v>
      </c>
      <c r="D268" s="3" t="str">
        <f t="shared" si="5"/>
        <v>V.H.4.a.</v>
      </c>
      <c r="E268" s="4" t="s">
        <v>182</v>
      </c>
      <c r="F268" s="3">
        <v>5</v>
      </c>
      <c r="G268" s="3"/>
      <c r="H268" s="13"/>
    </row>
    <row r="269" spans="2:8" x14ac:dyDescent="0.2">
      <c r="B269" s="3" t="s">
        <v>330</v>
      </c>
      <c r="C269" s="9" t="s">
        <v>195</v>
      </c>
      <c r="D269" s="3" t="str">
        <f t="shared" si="5"/>
        <v>V.H.5.a.</v>
      </c>
      <c r="E269" s="4" t="s">
        <v>183</v>
      </c>
      <c r="F269" s="3">
        <v>3</v>
      </c>
      <c r="G269" s="3"/>
      <c r="H269" s="13"/>
    </row>
    <row r="270" spans="2:8" x14ac:dyDescent="0.2">
      <c r="B270" s="3" t="s">
        <v>331</v>
      </c>
      <c r="C270" s="9" t="s">
        <v>195</v>
      </c>
      <c r="D270" s="3" t="str">
        <f t="shared" si="5"/>
        <v>V.H.6.a.</v>
      </c>
      <c r="E270" s="4" t="s">
        <v>184</v>
      </c>
      <c r="F270" s="3">
        <v>1</v>
      </c>
      <c r="G270" s="3"/>
      <c r="H270" s="13"/>
    </row>
    <row r="271" spans="2:8" x14ac:dyDescent="0.2">
      <c r="B271" s="3" t="s">
        <v>332</v>
      </c>
      <c r="C271" s="9" t="s">
        <v>195</v>
      </c>
      <c r="D271" s="3" t="str">
        <f t="shared" si="5"/>
        <v>V.I.1.a.</v>
      </c>
      <c r="E271" s="4" t="s">
        <v>186</v>
      </c>
      <c r="F271" s="3">
        <v>5</v>
      </c>
      <c r="G271" s="3"/>
      <c r="H271" s="13"/>
    </row>
    <row r="272" spans="2:8" x14ac:dyDescent="0.2">
      <c r="B272" s="3" t="s">
        <v>333</v>
      </c>
      <c r="C272" s="9" t="s">
        <v>195</v>
      </c>
      <c r="D272" s="3" t="str">
        <f t="shared" si="5"/>
        <v>V.I.2.a.</v>
      </c>
      <c r="E272" s="4" t="s">
        <v>187</v>
      </c>
      <c r="F272" s="3">
        <v>5</v>
      </c>
      <c r="G272" s="3"/>
      <c r="H272" s="13"/>
    </row>
    <row r="273" spans="2:8" x14ac:dyDescent="0.2">
      <c r="B273" s="3" t="s">
        <v>334</v>
      </c>
      <c r="C273" s="9" t="s">
        <v>195</v>
      </c>
      <c r="D273" s="3" t="str">
        <f t="shared" si="5"/>
        <v>V.I.3.a.</v>
      </c>
      <c r="E273" s="4" t="s">
        <v>188</v>
      </c>
      <c r="F273" s="3">
        <v>5</v>
      </c>
      <c r="G273" s="3"/>
      <c r="H273" s="13"/>
    </row>
    <row r="274" spans="2:8" x14ac:dyDescent="0.2">
      <c r="B274" s="3" t="s">
        <v>335</v>
      </c>
      <c r="C274" s="9" t="s">
        <v>195</v>
      </c>
      <c r="D274" s="3" t="str">
        <f t="shared" si="5"/>
        <v>V.J.1.a.</v>
      </c>
      <c r="E274" s="4" t="s">
        <v>190</v>
      </c>
      <c r="F274" s="3">
        <v>5</v>
      </c>
      <c r="G274" s="3"/>
      <c r="H274" s="13"/>
    </row>
    <row r="275" spans="2:8" x14ac:dyDescent="0.2">
      <c r="B275" s="3" t="s">
        <v>336</v>
      </c>
      <c r="C275" s="9" t="s">
        <v>195</v>
      </c>
      <c r="D275" s="3" t="str">
        <f t="shared" si="5"/>
        <v>V.J.2.a.</v>
      </c>
      <c r="E275" s="4" t="s">
        <v>191</v>
      </c>
      <c r="F275" s="3">
        <v>3</v>
      </c>
      <c r="G275" s="3"/>
      <c r="H275" s="13"/>
    </row>
    <row r="276" spans="2:8" x14ac:dyDescent="0.2">
      <c r="B276" s="3" t="s">
        <v>337</v>
      </c>
      <c r="C276" s="9" t="s">
        <v>195</v>
      </c>
      <c r="D276" s="3" t="str">
        <f t="shared" si="5"/>
        <v>V.J.3.a.</v>
      </c>
      <c r="E276" s="4" t="s">
        <v>192</v>
      </c>
      <c r="F276" s="3">
        <v>1</v>
      </c>
      <c r="G276" s="3"/>
      <c r="H276" s="13"/>
    </row>
    <row r="277" spans="2:8" x14ac:dyDescent="0.2">
      <c r="B277" s="3" t="s">
        <v>338</v>
      </c>
      <c r="C277" s="9" t="s">
        <v>195</v>
      </c>
      <c r="D277" s="3" t="str">
        <f t="shared" si="5"/>
        <v>V.K.0.a.</v>
      </c>
      <c r="E277" s="4" t="s">
        <v>71</v>
      </c>
      <c r="F277" s="3">
        <v>1</v>
      </c>
      <c r="G277" s="3"/>
      <c r="H277" s="13"/>
    </row>
  </sheetData>
  <mergeCells count="4">
    <mergeCell ref="G143:G147"/>
    <mergeCell ref="H143:H147"/>
    <mergeCell ref="G165:G172"/>
    <mergeCell ref="H165:H172"/>
  </mergeCells>
  <dataValidations count="2">
    <dataValidation type="list" allowBlank="1" showInputMessage="1" showErrorMessage="1" sqref="B21:B29" xr:uid="{00000000-0002-0000-0000-000000000000}">
      <formula1>INDIRECT(III.)</formula1>
    </dataValidation>
    <dataValidation type="list" allowBlank="1" showInputMessage="1" showErrorMessage="1" sqref="B184:B230" xr:uid="{00000000-0002-0000-0000-000001000000}">
      <formula1>$D$81:$D$97</formula1>
    </dataValidation>
  </dataValidations>
  <pageMargins left="0.7" right="0.7" top="0.75" bottom="0.75" header="0.3" footer="0.3"/>
  <pageSetup paperSize="1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B2:P29"/>
  <sheetViews>
    <sheetView topLeftCell="E16" workbookViewId="0">
      <selection activeCell="O35" sqref="O35"/>
    </sheetView>
  </sheetViews>
  <sheetFormatPr baseColWidth="10" defaultColWidth="9.1640625" defaultRowHeight="15" x14ac:dyDescent="0.2"/>
  <cols>
    <col min="1" max="1" width="9.1640625" style="1"/>
    <col min="2" max="2" width="16.83203125" style="1" customWidth="1"/>
    <col min="3" max="3" width="2.6640625" style="1" customWidth="1"/>
    <col min="4" max="4" width="20.6640625" style="1" customWidth="1"/>
    <col min="5" max="5" width="2.6640625" style="1" customWidth="1"/>
    <col min="6" max="6" width="20.6640625" style="1" customWidth="1"/>
    <col min="7" max="7" width="2.6640625" style="1" customWidth="1"/>
    <col min="8" max="8" width="20.6640625" style="1" customWidth="1"/>
    <col min="9" max="9" width="2.6640625" style="1" customWidth="1"/>
    <col min="10" max="10" width="20.6640625" style="1" customWidth="1"/>
    <col min="11" max="11" width="2.6640625" style="1" customWidth="1"/>
    <col min="12" max="12" width="39.33203125" style="1" bestFit="1" customWidth="1"/>
    <col min="13" max="13" width="2.6640625" style="1" customWidth="1"/>
    <col min="14" max="15" width="21.5" style="1" customWidth="1"/>
    <col min="16" max="16" width="27.6640625" style="1" bestFit="1" customWidth="1"/>
    <col min="17" max="16384" width="9.1640625" style="1"/>
  </cols>
  <sheetData>
    <row r="2" spans="2:16" x14ac:dyDescent="0.2">
      <c r="B2" s="1" t="s">
        <v>0</v>
      </c>
      <c r="D2" s="1" t="s">
        <v>6</v>
      </c>
      <c r="F2" s="1" t="s">
        <v>9</v>
      </c>
      <c r="H2" s="1" t="s">
        <v>360</v>
      </c>
      <c r="J2" s="1" t="s">
        <v>369</v>
      </c>
      <c r="L2" s="1" t="s">
        <v>440</v>
      </c>
      <c r="N2" s="1" t="s">
        <v>632</v>
      </c>
      <c r="O2" s="1" t="s">
        <v>633</v>
      </c>
      <c r="P2" s="1" t="s">
        <v>703</v>
      </c>
    </row>
    <row r="3" spans="2:16" x14ac:dyDescent="0.2">
      <c r="B3" s="1" t="s">
        <v>1</v>
      </c>
      <c r="D3" s="1" t="s">
        <v>7</v>
      </c>
      <c r="F3" s="1" t="s">
        <v>10</v>
      </c>
      <c r="H3" s="1" t="s">
        <v>361</v>
      </c>
      <c r="J3" s="1" t="s">
        <v>370</v>
      </c>
      <c r="L3" s="1" t="s">
        <v>94</v>
      </c>
      <c r="N3" s="1" t="s">
        <v>598</v>
      </c>
      <c r="O3" s="1" t="s">
        <v>615</v>
      </c>
      <c r="P3" s="1" t="str">
        <f>TabutKepangkatan[[#This Row],[Pangkat]]&amp;" , "&amp;TabutKepangkatan[[#This Row],[Golongan]]</f>
        <v>Pembina Utama , IV/e</v>
      </c>
    </row>
    <row r="4" spans="2:16" x14ac:dyDescent="0.2">
      <c r="B4" s="1" t="s">
        <v>2</v>
      </c>
      <c r="D4" s="1" t="s">
        <v>8</v>
      </c>
      <c r="F4" s="1" t="s">
        <v>11</v>
      </c>
      <c r="H4" s="1" t="s">
        <v>362</v>
      </c>
      <c r="J4" s="1" t="s">
        <v>371</v>
      </c>
      <c r="L4" s="1" t="s">
        <v>441</v>
      </c>
      <c r="N4" s="1" t="s">
        <v>599</v>
      </c>
      <c r="O4" s="1" t="s">
        <v>616</v>
      </c>
      <c r="P4" s="1" t="str">
        <f>TabutKepangkatan[[#This Row],[Pangkat]]&amp;" , "&amp;TabutKepangkatan[[#This Row],[Golongan]]</f>
        <v>Pembina Utama Madya , IV/d</v>
      </c>
    </row>
    <row r="5" spans="2:16" x14ac:dyDescent="0.2">
      <c r="B5" s="1" t="s">
        <v>3</v>
      </c>
      <c r="F5" s="1" t="s">
        <v>7</v>
      </c>
      <c r="H5" s="1" t="s">
        <v>483</v>
      </c>
      <c r="L5" s="1" t="s">
        <v>442</v>
      </c>
      <c r="N5" s="1" t="s">
        <v>600</v>
      </c>
      <c r="O5" s="1" t="s">
        <v>617</v>
      </c>
      <c r="P5" s="1" t="str">
        <f>TabutKepangkatan[[#This Row],[Pangkat]]&amp;" , "&amp;TabutKepangkatan[[#This Row],[Golongan]]</f>
        <v>Pembina Utama Muda , IV/c</v>
      </c>
    </row>
    <row r="6" spans="2:16" x14ac:dyDescent="0.2">
      <c r="B6" s="1" t="s">
        <v>4</v>
      </c>
      <c r="F6" s="1" t="s">
        <v>8</v>
      </c>
      <c r="L6" s="1" t="s">
        <v>443</v>
      </c>
      <c r="N6" s="1" t="s">
        <v>601</v>
      </c>
      <c r="O6" s="1" t="s">
        <v>618</v>
      </c>
      <c r="P6" s="1" t="str">
        <f>TabutKepangkatan[[#This Row],[Pangkat]]&amp;" , "&amp;TabutKepangkatan[[#This Row],[Golongan]]</f>
        <v>Pembina Tingkat I , IV/b</v>
      </c>
    </row>
    <row r="7" spans="2:16" x14ac:dyDescent="0.2">
      <c r="B7" s="1" t="s">
        <v>5</v>
      </c>
      <c r="L7" s="1" t="s">
        <v>444</v>
      </c>
      <c r="N7" s="1" t="s">
        <v>602</v>
      </c>
      <c r="O7" s="1" t="s">
        <v>619</v>
      </c>
      <c r="P7" s="1" t="str">
        <f>TabutKepangkatan[[#This Row],[Pangkat]]&amp;" , "&amp;TabutKepangkatan[[#This Row],[Golongan]]</f>
        <v>Pembina , IV/a</v>
      </c>
    </row>
    <row r="8" spans="2:16" x14ac:dyDescent="0.2">
      <c r="L8" s="1" t="s">
        <v>738</v>
      </c>
      <c r="N8" s="1" t="s">
        <v>603</v>
      </c>
      <c r="O8" s="1" t="s">
        <v>620</v>
      </c>
      <c r="P8" s="1" t="str">
        <f>TabutKepangkatan[[#This Row],[Pangkat]]&amp;" , "&amp;TabutKepangkatan[[#This Row],[Golongan]]</f>
        <v>Penata Tingkat I , III/d</v>
      </c>
    </row>
    <row r="9" spans="2:16" x14ac:dyDescent="0.2">
      <c r="B9" s="1" t="s">
        <v>380</v>
      </c>
      <c r="D9" s="1" t="s">
        <v>377</v>
      </c>
      <c r="F9" s="1" t="s">
        <v>379</v>
      </c>
      <c r="H9" s="1" t="s">
        <v>431</v>
      </c>
      <c r="J9" s="1" t="s">
        <v>434</v>
      </c>
      <c r="L9" s="1" t="s">
        <v>445</v>
      </c>
      <c r="N9" s="1" t="s">
        <v>604</v>
      </c>
      <c r="O9" s="1" t="s">
        <v>621</v>
      </c>
      <c r="P9" s="1" t="str">
        <f>TabutKepangkatan[[#This Row],[Pangkat]]&amp;" , "&amp;TabutKepangkatan[[#This Row],[Golongan]]</f>
        <v>Penata  , III/c</v>
      </c>
    </row>
    <row r="10" spans="2:16" x14ac:dyDescent="0.2">
      <c r="B10" s="1" t="s">
        <v>381</v>
      </c>
      <c r="D10" s="1" t="s">
        <v>383</v>
      </c>
      <c r="F10" s="1" t="s">
        <v>385</v>
      </c>
      <c r="H10" s="1" t="s">
        <v>90</v>
      </c>
      <c r="J10" s="1" t="s">
        <v>435</v>
      </c>
      <c r="L10" s="1" t="s">
        <v>446</v>
      </c>
      <c r="N10" s="1" t="s">
        <v>605</v>
      </c>
      <c r="O10" s="1" t="s">
        <v>622</v>
      </c>
      <c r="P10" s="1" t="str">
        <f>TabutKepangkatan[[#This Row],[Pangkat]]&amp;" , "&amp;TabutKepangkatan[[#This Row],[Golongan]]</f>
        <v>Penata Muda Tingkat I , III/b</v>
      </c>
    </row>
    <row r="11" spans="2:16" x14ac:dyDescent="0.2">
      <c r="B11" s="1" t="s">
        <v>216</v>
      </c>
      <c r="D11" s="1" t="s">
        <v>384</v>
      </c>
      <c r="F11" s="1" t="s">
        <v>386</v>
      </c>
      <c r="H11" s="1" t="s">
        <v>423</v>
      </c>
      <c r="J11" s="1" t="s">
        <v>436</v>
      </c>
      <c r="L11" s="1" t="s">
        <v>447</v>
      </c>
      <c r="N11" s="1" t="s">
        <v>606</v>
      </c>
      <c r="O11" s="1" t="s">
        <v>623</v>
      </c>
      <c r="P11" s="1" t="str">
        <f>TabutKepangkatan[[#This Row],[Pangkat]]&amp;" , "&amp;TabutKepangkatan[[#This Row],[Golongan]]</f>
        <v>Penata Muda  , III/a</v>
      </c>
    </row>
    <row r="12" spans="2:16" x14ac:dyDescent="0.2">
      <c r="B12" s="1" t="s">
        <v>217</v>
      </c>
      <c r="F12" s="1" t="s">
        <v>387</v>
      </c>
      <c r="H12" s="1" t="s">
        <v>424</v>
      </c>
      <c r="J12" s="1" t="s">
        <v>437</v>
      </c>
      <c r="L12" s="1" t="s">
        <v>739</v>
      </c>
      <c r="N12" s="1" t="s">
        <v>607</v>
      </c>
      <c r="O12" s="1" t="s">
        <v>624</v>
      </c>
      <c r="P12" s="1" t="str">
        <f>TabutKepangkatan[[#This Row],[Pangkat]]&amp;" , "&amp;TabutKepangkatan[[#This Row],[Golongan]]</f>
        <v>Pengatur Tingkat I , II/d</v>
      </c>
    </row>
    <row r="13" spans="2:16" x14ac:dyDescent="0.2">
      <c r="B13" s="1" t="s">
        <v>382</v>
      </c>
      <c r="H13" s="1" t="s">
        <v>425</v>
      </c>
      <c r="J13" s="1" t="s">
        <v>438</v>
      </c>
      <c r="L13" s="1" t="s">
        <v>448</v>
      </c>
      <c r="N13" s="1" t="s">
        <v>608</v>
      </c>
      <c r="O13" s="1" t="s">
        <v>625</v>
      </c>
      <c r="P13" s="1" t="str">
        <f>TabutKepangkatan[[#This Row],[Pangkat]]&amp;" , "&amp;TabutKepangkatan[[#This Row],[Golongan]]</f>
        <v>Pengatur  , II/c</v>
      </c>
    </row>
    <row r="14" spans="2:16" x14ac:dyDescent="0.2">
      <c r="H14" s="1" t="s">
        <v>426</v>
      </c>
      <c r="J14" s="1" t="s">
        <v>439</v>
      </c>
      <c r="L14" s="1" t="s">
        <v>449</v>
      </c>
      <c r="N14" s="1" t="s">
        <v>609</v>
      </c>
      <c r="O14" s="1" t="s">
        <v>626</v>
      </c>
      <c r="P14" s="1" t="str">
        <f>TabutKepangkatan[[#This Row],[Pangkat]]&amp;" , "&amp;TabutKepangkatan[[#This Row],[Golongan]]</f>
        <v>Pengatur Muda Tingkat I , II/b</v>
      </c>
    </row>
    <row r="15" spans="2:16" x14ac:dyDescent="0.2">
      <c r="B15" s="1" t="s">
        <v>800</v>
      </c>
      <c r="D15" s="1" t="s">
        <v>112</v>
      </c>
      <c r="F15" s="1" t="s">
        <v>111</v>
      </c>
      <c r="H15" s="1" t="s">
        <v>427</v>
      </c>
      <c r="L15" s="1" t="s">
        <v>450</v>
      </c>
      <c r="N15" s="1" t="s">
        <v>610</v>
      </c>
      <c r="O15" s="1" t="s">
        <v>627</v>
      </c>
      <c r="P15" s="1" t="str">
        <f>TabutKepangkatan[[#This Row],[Pangkat]]&amp;" , "&amp;TabutKepangkatan[[#This Row],[Golongan]]</f>
        <v>Pengatur Muda  , II/a</v>
      </c>
    </row>
    <row r="16" spans="2:16" x14ac:dyDescent="0.2">
      <c r="B16" s="1" t="s">
        <v>801</v>
      </c>
      <c r="D16" s="1" t="s">
        <v>112</v>
      </c>
      <c r="F16" s="1" t="s">
        <v>111</v>
      </c>
      <c r="H16" s="1" t="s">
        <v>428</v>
      </c>
      <c r="L16" s="1" t="s">
        <v>451</v>
      </c>
      <c r="N16" s="1" t="s">
        <v>611</v>
      </c>
      <c r="O16" s="1" t="s">
        <v>628</v>
      </c>
      <c r="P16" s="1" t="str">
        <f>TabutKepangkatan[[#This Row],[Pangkat]]&amp;" , "&amp;TabutKepangkatan[[#This Row],[Golongan]]</f>
        <v>Juru Tingkat I , I/d</v>
      </c>
    </row>
    <row r="17" spans="2:16" x14ac:dyDescent="0.2">
      <c r="B17" s="1" t="s">
        <v>802</v>
      </c>
      <c r="D17" s="1" t="s">
        <v>109</v>
      </c>
      <c r="F17" s="1" t="s">
        <v>112</v>
      </c>
      <c r="H17" s="1" t="s">
        <v>429</v>
      </c>
      <c r="L17" s="1" t="s">
        <v>452</v>
      </c>
      <c r="N17" s="1" t="s">
        <v>612</v>
      </c>
      <c r="O17" s="1" t="s">
        <v>629</v>
      </c>
      <c r="P17" s="1" t="str">
        <f>TabutKepangkatan[[#This Row],[Pangkat]]&amp;" , "&amp;TabutKepangkatan[[#This Row],[Golongan]]</f>
        <v>Juru  , I/c</v>
      </c>
    </row>
    <row r="18" spans="2:16" x14ac:dyDescent="0.2">
      <c r="B18" s="1" t="s">
        <v>809</v>
      </c>
      <c r="L18" s="1" t="s">
        <v>453</v>
      </c>
      <c r="N18" s="1" t="s">
        <v>613</v>
      </c>
      <c r="O18" s="1" t="s">
        <v>630</v>
      </c>
      <c r="P18" s="1" t="str">
        <f>TabutKepangkatan[[#This Row],[Pangkat]]&amp;" , "&amp;TabutKepangkatan[[#This Row],[Golongan]]</f>
        <v>Juru Muda Tingkat I , I/b</v>
      </c>
    </row>
    <row r="19" spans="2:16" x14ac:dyDescent="0.2">
      <c r="B19" s="1" t="s">
        <v>803</v>
      </c>
      <c r="L19" s="1" t="s">
        <v>454</v>
      </c>
      <c r="N19" s="1" t="s">
        <v>614</v>
      </c>
      <c r="O19" s="1" t="s">
        <v>631</v>
      </c>
      <c r="P19" s="1" t="str">
        <f>TabutKepangkatan[[#This Row],[Pangkat]]&amp;" , "&amp;TabutKepangkatan[[#This Row],[Golongan]]</f>
        <v>Juru Muda  , I/a</v>
      </c>
    </row>
    <row r="20" spans="2:16" x14ac:dyDescent="0.2">
      <c r="B20" s="1" t="s">
        <v>810</v>
      </c>
      <c r="L20" s="1" t="s">
        <v>455</v>
      </c>
    </row>
    <row r="21" spans="2:16" x14ac:dyDescent="0.2">
      <c r="B21" s="1" t="s">
        <v>811</v>
      </c>
      <c r="L21" s="1" t="s">
        <v>456</v>
      </c>
    </row>
    <row r="22" spans="2:16" x14ac:dyDescent="0.2">
      <c r="B22" s="1" t="s">
        <v>812</v>
      </c>
      <c r="L22" s="1" t="s">
        <v>457</v>
      </c>
    </row>
    <row r="23" spans="2:16" x14ac:dyDescent="0.2">
      <c r="L23" s="1" t="s">
        <v>458</v>
      </c>
      <c r="N23" s="1" t="s">
        <v>830</v>
      </c>
      <c r="O23" s="1" t="s">
        <v>842</v>
      </c>
      <c r="P23" s="1" t="s">
        <v>838</v>
      </c>
    </row>
    <row r="24" spans="2:16" x14ac:dyDescent="0.2">
      <c r="L24" s="1" t="s">
        <v>459</v>
      </c>
      <c r="N24" s="1">
        <v>120</v>
      </c>
      <c r="O24" s="1">
        <v>100</v>
      </c>
      <c r="P24" s="1" t="s">
        <v>839</v>
      </c>
    </row>
    <row r="25" spans="2:16" x14ac:dyDescent="0.2">
      <c r="L25" s="1" t="s">
        <v>460</v>
      </c>
      <c r="N25" s="1">
        <v>90.99</v>
      </c>
      <c r="O25" s="1">
        <v>90.99</v>
      </c>
      <c r="P25" s="1" t="s">
        <v>816</v>
      </c>
    </row>
    <row r="26" spans="2:16" x14ac:dyDescent="0.2">
      <c r="L26" s="1" t="s">
        <v>461</v>
      </c>
      <c r="N26" s="1">
        <v>75.989999999999995</v>
      </c>
      <c r="O26" s="1">
        <v>75.989999999999995</v>
      </c>
      <c r="P26" s="1" t="s">
        <v>817</v>
      </c>
    </row>
    <row r="27" spans="2:16" x14ac:dyDescent="0.2">
      <c r="L27" s="1" t="s">
        <v>462</v>
      </c>
      <c r="N27" s="1">
        <v>60.99</v>
      </c>
      <c r="O27" s="1">
        <v>60.99</v>
      </c>
      <c r="P27" s="1" t="s">
        <v>840</v>
      </c>
    </row>
    <row r="28" spans="2:16" x14ac:dyDescent="0.2">
      <c r="N28" s="1">
        <v>50.99</v>
      </c>
      <c r="O28" s="1">
        <v>50.99</v>
      </c>
      <c r="P28" s="1" t="s">
        <v>841</v>
      </c>
    </row>
    <row r="29" spans="2:16" x14ac:dyDescent="0.2">
      <c r="N29" s="1">
        <v>0</v>
      </c>
      <c r="O29" s="84">
        <v>0</v>
      </c>
      <c r="P29" s="84" t="s">
        <v>637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4.9989318521683403E-2"/>
  </sheetPr>
  <dimension ref="B3:H296"/>
  <sheetViews>
    <sheetView topLeftCell="A22" workbookViewId="0">
      <selection activeCell="C37" sqref="C37"/>
    </sheetView>
  </sheetViews>
  <sheetFormatPr baseColWidth="10" defaultColWidth="9.1640625" defaultRowHeight="13" x14ac:dyDescent="0.2"/>
  <cols>
    <col min="1" max="1" width="2.5" style="5" customWidth="1"/>
    <col min="2" max="2" width="12.5" style="11" customWidth="1"/>
    <col min="3" max="4" width="12.5" style="5" customWidth="1"/>
    <col min="5" max="5" width="123.5" style="5" customWidth="1"/>
    <col min="6" max="6" width="10.5" style="5" customWidth="1"/>
    <col min="7" max="7" width="10.5" style="11" customWidth="1"/>
    <col min="8" max="8" width="17" style="12" bestFit="1" customWidth="1"/>
    <col min="9" max="16384" width="9.1640625" style="5"/>
  </cols>
  <sheetData>
    <row r="3" spans="2:5" x14ac:dyDescent="0.2">
      <c r="B3" s="97" t="s">
        <v>13</v>
      </c>
      <c r="C3" s="4" t="s">
        <v>14</v>
      </c>
    </row>
    <row r="4" spans="2:5" x14ac:dyDescent="0.2">
      <c r="B4" s="97" t="s">
        <v>15</v>
      </c>
      <c r="C4" s="4" t="s">
        <v>16</v>
      </c>
    </row>
    <row r="5" spans="2:5" x14ac:dyDescent="0.2">
      <c r="B5" s="97" t="s">
        <v>17</v>
      </c>
      <c r="C5" s="4" t="s">
        <v>18</v>
      </c>
    </row>
    <row r="6" spans="2:5" x14ac:dyDescent="0.2">
      <c r="B6" s="97" t="s">
        <v>19</v>
      </c>
      <c r="C6" s="4" t="s">
        <v>20</v>
      </c>
    </row>
    <row r="7" spans="2:5" x14ac:dyDescent="0.2">
      <c r="B7" s="6"/>
      <c r="C7" s="7"/>
    </row>
    <row r="8" spans="2:5" x14ac:dyDescent="0.2">
      <c r="B8" s="6"/>
      <c r="C8" s="7"/>
    </row>
    <row r="10" spans="2:5" x14ac:dyDescent="0.2">
      <c r="B10" s="73" t="s">
        <v>388</v>
      </c>
      <c r="C10" s="74" t="s">
        <v>389</v>
      </c>
      <c r="D10" s="74" t="s">
        <v>390</v>
      </c>
      <c r="E10" s="75" t="s">
        <v>391</v>
      </c>
    </row>
    <row r="11" spans="2:5" x14ac:dyDescent="0.2">
      <c r="B11" s="66" t="s">
        <v>13</v>
      </c>
      <c r="C11" s="97" t="s">
        <v>21</v>
      </c>
      <c r="D11" s="97" t="str">
        <f t="shared" ref="D11:D49" si="0">CONCATENATE(B11,C11)</f>
        <v>II.A.</v>
      </c>
      <c r="E11" s="68" t="s">
        <v>22</v>
      </c>
    </row>
    <row r="12" spans="2:5" x14ac:dyDescent="0.2">
      <c r="B12" s="66" t="s">
        <v>13</v>
      </c>
      <c r="C12" s="97" t="s">
        <v>23</v>
      </c>
      <c r="D12" s="97" t="str">
        <f t="shared" si="0"/>
        <v>II.B.</v>
      </c>
      <c r="E12" s="68" t="s">
        <v>24</v>
      </c>
    </row>
    <row r="13" spans="2:5" x14ac:dyDescent="0.2">
      <c r="B13" s="66" t="s">
        <v>13</v>
      </c>
      <c r="C13" s="97" t="s">
        <v>25</v>
      </c>
      <c r="D13" s="97" t="str">
        <f t="shared" si="0"/>
        <v>II.C.</v>
      </c>
      <c r="E13" s="68" t="s">
        <v>26</v>
      </c>
    </row>
    <row r="14" spans="2:5" x14ac:dyDescent="0.2">
      <c r="B14" s="66" t="s">
        <v>13</v>
      </c>
      <c r="C14" s="97" t="s">
        <v>27</v>
      </c>
      <c r="D14" s="97" t="str">
        <f t="shared" si="0"/>
        <v>II.D.</v>
      </c>
      <c r="E14" s="68" t="s">
        <v>28</v>
      </c>
    </row>
    <row r="15" spans="2:5" x14ac:dyDescent="0.2">
      <c r="B15" s="66" t="s">
        <v>13</v>
      </c>
      <c r="C15" s="97" t="s">
        <v>29</v>
      </c>
      <c r="D15" s="97" t="str">
        <f t="shared" si="0"/>
        <v>II.E.</v>
      </c>
      <c r="E15" s="68" t="s">
        <v>30</v>
      </c>
    </row>
    <row r="16" spans="2:5" x14ac:dyDescent="0.2">
      <c r="B16" s="66" t="s">
        <v>13</v>
      </c>
      <c r="C16" s="97" t="s">
        <v>31</v>
      </c>
      <c r="D16" s="97" t="str">
        <f t="shared" si="0"/>
        <v>II.F.</v>
      </c>
      <c r="E16" s="68" t="s">
        <v>32</v>
      </c>
    </row>
    <row r="17" spans="2:5" x14ac:dyDescent="0.2">
      <c r="B17" s="66" t="s">
        <v>13</v>
      </c>
      <c r="C17" s="97" t="s">
        <v>33</v>
      </c>
      <c r="D17" s="97" t="str">
        <f t="shared" si="0"/>
        <v>II.G.</v>
      </c>
      <c r="E17" s="68" t="s">
        <v>34</v>
      </c>
    </row>
    <row r="18" spans="2:5" x14ac:dyDescent="0.2">
      <c r="B18" s="66" t="s">
        <v>13</v>
      </c>
      <c r="C18" s="97" t="s">
        <v>35</v>
      </c>
      <c r="D18" s="97" t="str">
        <f t="shared" si="0"/>
        <v>II.H.</v>
      </c>
      <c r="E18" s="68" t="s">
        <v>36</v>
      </c>
    </row>
    <row r="19" spans="2:5" x14ac:dyDescent="0.2">
      <c r="B19" s="66" t="s">
        <v>13</v>
      </c>
      <c r="C19" s="97" t="s">
        <v>37</v>
      </c>
      <c r="D19" s="97" t="str">
        <f t="shared" si="0"/>
        <v>II.I.</v>
      </c>
      <c r="E19" s="68" t="s">
        <v>38</v>
      </c>
    </row>
    <row r="20" spans="2:5" x14ac:dyDescent="0.2">
      <c r="B20" s="66" t="s">
        <v>13</v>
      </c>
      <c r="C20" s="97" t="s">
        <v>39</v>
      </c>
      <c r="D20" s="97" t="str">
        <f t="shared" si="0"/>
        <v>II.J.</v>
      </c>
      <c r="E20" s="68" t="s">
        <v>40</v>
      </c>
    </row>
    <row r="21" spans="2:5" x14ac:dyDescent="0.2">
      <c r="B21" s="66" t="s">
        <v>13</v>
      </c>
      <c r="C21" s="97" t="s">
        <v>41</v>
      </c>
      <c r="D21" s="97" t="str">
        <f t="shared" si="0"/>
        <v>II.K.</v>
      </c>
      <c r="E21" s="68" t="s">
        <v>42</v>
      </c>
    </row>
    <row r="22" spans="2:5" x14ac:dyDescent="0.2">
      <c r="B22" s="66" t="s">
        <v>13</v>
      </c>
      <c r="C22" s="97" t="s">
        <v>43</v>
      </c>
      <c r="D22" s="97" t="str">
        <f t="shared" si="0"/>
        <v>II.L.</v>
      </c>
      <c r="E22" s="68" t="s">
        <v>44</v>
      </c>
    </row>
    <row r="23" spans="2:5" x14ac:dyDescent="0.2">
      <c r="B23" s="66" t="s">
        <v>13</v>
      </c>
      <c r="C23" s="97" t="s">
        <v>45</v>
      </c>
      <c r="D23" s="97" t="str">
        <f t="shared" si="0"/>
        <v>II.M.</v>
      </c>
      <c r="E23" s="68" t="s">
        <v>46</v>
      </c>
    </row>
    <row r="24" spans="2:5" x14ac:dyDescent="0.2">
      <c r="B24" s="66" t="s">
        <v>15</v>
      </c>
      <c r="C24" s="97" t="s">
        <v>21</v>
      </c>
      <c r="D24" s="97" t="str">
        <f t="shared" si="0"/>
        <v>III.A.</v>
      </c>
      <c r="E24" s="68" t="s">
        <v>47</v>
      </c>
    </row>
    <row r="25" spans="2:5" x14ac:dyDescent="0.2">
      <c r="B25" s="66" t="s">
        <v>15</v>
      </c>
      <c r="C25" s="97" t="s">
        <v>23</v>
      </c>
      <c r="D25" s="97" t="str">
        <f t="shared" si="0"/>
        <v>III.B.</v>
      </c>
      <c r="E25" s="68" t="s">
        <v>48</v>
      </c>
    </row>
    <row r="26" spans="2:5" x14ac:dyDescent="0.2">
      <c r="B26" s="66" t="s">
        <v>15</v>
      </c>
      <c r="C26" s="97" t="s">
        <v>25</v>
      </c>
      <c r="D26" s="97" t="str">
        <f t="shared" si="0"/>
        <v>III.C.</v>
      </c>
      <c r="E26" s="68" t="s">
        <v>49</v>
      </c>
    </row>
    <row r="27" spans="2:5" x14ac:dyDescent="0.2">
      <c r="B27" s="66" t="s">
        <v>15</v>
      </c>
      <c r="C27" s="97" t="s">
        <v>27</v>
      </c>
      <c r="D27" s="97" t="str">
        <f t="shared" si="0"/>
        <v>III.D.</v>
      </c>
      <c r="E27" s="68" t="s">
        <v>50</v>
      </c>
    </row>
    <row r="28" spans="2:5" x14ac:dyDescent="0.2">
      <c r="B28" s="66" t="s">
        <v>15</v>
      </c>
      <c r="C28" s="97" t="s">
        <v>29</v>
      </c>
      <c r="D28" s="97" t="str">
        <f t="shared" si="0"/>
        <v>III.E.</v>
      </c>
      <c r="E28" s="68" t="s">
        <v>51</v>
      </c>
    </row>
    <row r="29" spans="2:5" x14ac:dyDescent="0.2">
      <c r="B29" s="66" t="s">
        <v>15</v>
      </c>
      <c r="C29" s="97" t="s">
        <v>31</v>
      </c>
      <c r="D29" s="97" t="str">
        <f t="shared" si="0"/>
        <v>III.F.</v>
      </c>
      <c r="E29" s="68" t="s">
        <v>52</v>
      </c>
    </row>
    <row r="30" spans="2:5" x14ac:dyDescent="0.2">
      <c r="B30" s="66" t="s">
        <v>15</v>
      </c>
      <c r="C30" s="97" t="s">
        <v>33</v>
      </c>
      <c r="D30" s="97" t="str">
        <f t="shared" si="0"/>
        <v>III.G.</v>
      </c>
      <c r="E30" s="68" t="s">
        <v>53</v>
      </c>
    </row>
    <row r="31" spans="2:5" x14ac:dyDescent="0.2">
      <c r="B31" s="66" t="s">
        <v>15</v>
      </c>
      <c r="C31" s="97" t="s">
        <v>35</v>
      </c>
      <c r="D31" s="97" t="str">
        <f t="shared" si="0"/>
        <v>III.H.</v>
      </c>
      <c r="E31" s="67" t="s">
        <v>54</v>
      </c>
    </row>
    <row r="32" spans="2:5" x14ac:dyDescent="0.2">
      <c r="B32" s="66" t="s">
        <v>15</v>
      </c>
      <c r="C32" s="97" t="s">
        <v>37</v>
      </c>
      <c r="D32" s="97" t="str">
        <f t="shared" si="0"/>
        <v>III.I.</v>
      </c>
      <c r="E32" s="67" t="s">
        <v>55</v>
      </c>
    </row>
    <row r="33" spans="2:5" x14ac:dyDescent="0.2">
      <c r="B33" s="66" t="s">
        <v>17</v>
      </c>
      <c r="C33" s="97" t="s">
        <v>21</v>
      </c>
      <c r="D33" s="97" t="str">
        <f t="shared" si="0"/>
        <v>IV.A.</v>
      </c>
      <c r="E33" s="67" t="s">
        <v>56</v>
      </c>
    </row>
    <row r="34" spans="2:5" x14ac:dyDescent="0.2">
      <c r="B34" s="66" t="s">
        <v>17</v>
      </c>
      <c r="C34" s="97" t="s">
        <v>23</v>
      </c>
      <c r="D34" s="97" t="str">
        <f t="shared" si="0"/>
        <v>IV.B.</v>
      </c>
      <c r="E34" s="67" t="s">
        <v>57</v>
      </c>
    </row>
    <row r="35" spans="2:5" x14ac:dyDescent="0.2">
      <c r="B35" s="66" t="s">
        <v>17</v>
      </c>
      <c r="C35" s="97" t="s">
        <v>25</v>
      </c>
      <c r="D35" s="97" t="str">
        <f t="shared" si="0"/>
        <v>IV.C.</v>
      </c>
      <c r="E35" s="67" t="s">
        <v>58</v>
      </c>
    </row>
    <row r="36" spans="2:5" x14ac:dyDescent="0.2">
      <c r="B36" s="66" t="s">
        <v>17</v>
      </c>
      <c r="C36" s="97" t="s">
        <v>27</v>
      </c>
      <c r="D36" s="97" t="str">
        <f t="shared" si="0"/>
        <v>IV.D.</v>
      </c>
      <c r="E36" s="67" t="s">
        <v>59</v>
      </c>
    </row>
    <row r="37" spans="2:5" x14ac:dyDescent="0.2">
      <c r="B37" s="66" t="s">
        <v>17</v>
      </c>
      <c r="C37" s="97" t="s">
        <v>29</v>
      </c>
      <c r="D37" s="97" t="str">
        <f t="shared" si="0"/>
        <v>IV.E.</v>
      </c>
      <c r="E37" s="67" t="s">
        <v>60</v>
      </c>
    </row>
    <row r="38" spans="2:5" x14ac:dyDescent="0.2">
      <c r="B38" s="310" t="s">
        <v>17</v>
      </c>
      <c r="C38" s="308" t="s">
        <v>31</v>
      </c>
      <c r="D38" s="308" t="str">
        <f t="shared" si="0"/>
        <v>IV.F.</v>
      </c>
      <c r="E38" s="312" t="s">
        <v>796</v>
      </c>
    </row>
    <row r="39" spans="2:5" x14ac:dyDescent="0.2">
      <c r="B39" s="310" t="s">
        <v>17</v>
      </c>
      <c r="C39" s="308" t="s">
        <v>33</v>
      </c>
      <c r="D39" s="308" t="str">
        <f t="shared" si="0"/>
        <v>IV.G.</v>
      </c>
      <c r="E39" s="67" t="s">
        <v>66</v>
      </c>
    </row>
    <row r="40" spans="2:5" x14ac:dyDescent="0.2">
      <c r="B40" s="66" t="s">
        <v>19</v>
      </c>
      <c r="C40" s="97" t="s">
        <v>21</v>
      </c>
      <c r="D40" s="97" t="str">
        <f t="shared" si="0"/>
        <v>V.A.</v>
      </c>
      <c r="E40" s="67" t="s">
        <v>61</v>
      </c>
    </row>
    <row r="41" spans="2:5" x14ac:dyDescent="0.2">
      <c r="B41" s="66" t="s">
        <v>19</v>
      </c>
      <c r="C41" s="97" t="s">
        <v>23</v>
      </c>
      <c r="D41" s="97" t="str">
        <f t="shared" si="0"/>
        <v>V.B.</v>
      </c>
      <c r="E41" s="67" t="s">
        <v>62</v>
      </c>
    </row>
    <row r="42" spans="2:5" x14ac:dyDescent="0.2">
      <c r="B42" s="66" t="s">
        <v>19</v>
      </c>
      <c r="C42" s="97" t="s">
        <v>25</v>
      </c>
      <c r="D42" s="97" t="str">
        <f t="shared" si="0"/>
        <v>V.C.</v>
      </c>
      <c r="E42" s="67" t="s">
        <v>63</v>
      </c>
    </row>
    <row r="43" spans="2:5" x14ac:dyDescent="0.2">
      <c r="B43" s="66" t="s">
        <v>19</v>
      </c>
      <c r="C43" s="97" t="s">
        <v>27</v>
      </c>
      <c r="D43" s="97" t="str">
        <f t="shared" si="0"/>
        <v>V.D.</v>
      </c>
      <c r="E43" s="67" t="s">
        <v>64</v>
      </c>
    </row>
    <row r="44" spans="2:5" x14ac:dyDescent="0.2">
      <c r="B44" s="66" t="s">
        <v>19</v>
      </c>
      <c r="C44" s="97" t="s">
        <v>29</v>
      </c>
      <c r="D44" s="97" t="str">
        <f t="shared" si="0"/>
        <v>V.E.</v>
      </c>
      <c r="E44" s="67" t="s">
        <v>65</v>
      </c>
    </row>
    <row r="45" spans="2:5" x14ac:dyDescent="0.2">
      <c r="B45" s="66" t="s">
        <v>19</v>
      </c>
      <c r="C45" s="97" t="s">
        <v>31</v>
      </c>
      <c r="D45" s="97" t="str">
        <f t="shared" si="0"/>
        <v>V.F.</v>
      </c>
      <c r="E45" s="67" t="s">
        <v>67</v>
      </c>
    </row>
    <row r="46" spans="2:5" x14ac:dyDescent="0.2">
      <c r="B46" s="66" t="s">
        <v>19</v>
      </c>
      <c r="C46" s="97" t="s">
        <v>33</v>
      </c>
      <c r="D46" s="97" t="str">
        <f t="shared" si="0"/>
        <v>V.G.</v>
      </c>
      <c r="E46" s="67" t="s">
        <v>68</v>
      </c>
    </row>
    <row r="47" spans="2:5" x14ac:dyDescent="0.2">
      <c r="B47" s="66" t="s">
        <v>19</v>
      </c>
      <c r="C47" s="97" t="s">
        <v>35</v>
      </c>
      <c r="D47" s="97" t="str">
        <f t="shared" si="0"/>
        <v>V.H.</v>
      </c>
      <c r="E47" s="72" t="s">
        <v>69</v>
      </c>
    </row>
    <row r="48" spans="2:5" x14ac:dyDescent="0.2">
      <c r="B48" s="70" t="s">
        <v>19</v>
      </c>
      <c r="C48" s="281" t="s">
        <v>37</v>
      </c>
      <c r="D48" s="281" t="str">
        <f t="shared" si="0"/>
        <v>V.I.</v>
      </c>
      <c r="E48" s="72" t="s">
        <v>70</v>
      </c>
    </row>
    <row r="49" spans="2:5" x14ac:dyDescent="0.2">
      <c r="B49" s="311" t="s">
        <v>19</v>
      </c>
      <c r="C49" s="281" t="s">
        <v>39</v>
      </c>
      <c r="D49" s="281" t="str">
        <f t="shared" si="0"/>
        <v>V.J.</v>
      </c>
      <c r="E49" s="313" t="s">
        <v>71</v>
      </c>
    </row>
    <row r="50" spans="2:5" x14ac:dyDescent="0.2">
      <c r="B50" s="311"/>
      <c r="C50" s="281"/>
      <c r="D50" s="281"/>
      <c r="E50" s="67"/>
    </row>
    <row r="56" spans="2:5" x14ac:dyDescent="0.2">
      <c r="B56" s="73" t="s">
        <v>388</v>
      </c>
      <c r="C56" s="74" t="s">
        <v>389</v>
      </c>
      <c r="D56" s="74" t="s">
        <v>390</v>
      </c>
      <c r="E56" s="75" t="s">
        <v>391</v>
      </c>
    </row>
    <row r="57" spans="2:5" x14ac:dyDescent="0.2">
      <c r="B57" s="310"/>
      <c r="C57" s="309"/>
      <c r="D57" s="308" t="str">
        <f t="shared" ref="D57:D88" si="1">CONCATENATE(B57,C57)</f>
        <v/>
      </c>
      <c r="E57" s="312"/>
    </row>
    <row r="58" spans="2:5" x14ac:dyDescent="0.2">
      <c r="B58" s="66" t="s">
        <v>72</v>
      </c>
      <c r="C58" s="9" t="s">
        <v>73</v>
      </c>
      <c r="D58" s="97" t="str">
        <f t="shared" si="1"/>
        <v>II.A.1.</v>
      </c>
      <c r="E58" s="67" t="s">
        <v>2</v>
      </c>
    </row>
    <row r="59" spans="2:5" x14ac:dyDescent="0.2">
      <c r="B59" s="66" t="s">
        <v>72</v>
      </c>
      <c r="C59" s="9" t="s">
        <v>74</v>
      </c>
      <c r="D59" s="97" t="str">
        <f t="shared" si="1"/>
        <v>II.A.2.</v>
      </c>
      <c r="E59" s="67" t="s">
        <v>75</v>
      </c>
    </row>
    <row r="60" spans="2:5" x14ac:dyDescent="0.2">
      <c r="B60" s="66" t="s">
        <v>72</v>
      </c>
      <c r="C60" s="9" t="s">
        <v>76</v>
      </c>
      <c r="D60" s="97" t="str">
        <f t="shared" si="1"/>
        <v>II.A.3.</v>
      </c>
      <c r="E60" s="67" t="s">
        <v>77</v>
      </c>
    </row>
    <row r="61" spans="2:5" x14ac:dyDescent="0.2">
      <c r="B61" s="66" t="s">
        <v>78</v>
      </c>
      <c r="C61" s="9" t="s">
        <v>79</v>
      </c>
      <c r="D61" s="97" t="str">
        <f t="shared" si="1"/>
        <v>II.B.0.</v>
      </c>
      <c r="E61" s="67" t="s">
        <v>24</v>
      </c>
    </row>
    <row r="62" spans="2:5" x14ac:dyDescent="0.2">
      <c r="B62" s="66" t="s">
        <v>80</v>
      </c>
      <c r="C62" s="9" t="s">
        <v>79</v>
      </c>
      <c r="D62" s="97" t="str">
        <f t="shared" si="1"/>
        <v>II.C.0.</v>
      </c>
      <c r="E62" s="67" t="s">
        <v>26</v>
      </c>
    </row>
    <row r="63" spans="2:5" x14ac:dyDescent="0.2">
      <c r="B63" s="66" t="s">
        <v>81</v>
      </c>
      <c r="C63" s="9" t="s">
        <v>73</v>
      </c>
      <c r="D63" s="97" t="str">
        <f t="shared" si="1"/>
        <v>II.D.1.</v>
      </c>
      <c r="E63" s="67" t="s">
        <v>82</v>
      </c>
    </row>
    <row r="64" spans="2:5" x14ac:dyDescent="0.2">
      <c r="B64" s="66" t="s">
        <v>81</v>
      </c>
      <c r="C64" s="9" t="s">
        <v>74</v>
      </c>
      <c r="D64" s="97" t="str">
        <f t="shared" si="1"/>
        <v>II.D.2.</v>
      </c>
      <c r="E64" s="67" t="s">
        <v>83</v>
      </c>
    </row>
    <row r="65" spans="2:5" x14ac:dyDescent="0.2">
      <c r="B65" s="66" t="s">
        <v>84</v>
      </c>
      <c r="C65" s="9" t="s">
        <v>73</v>
      </c>
      <c r="D65" s="97" t="str">
        <f t="shared" si="1"/>
        <v>II.E.1.</v>
      </c>
      <c r="E65" s="67" t="s">
        <v>85</v>
      </c>
    </row>
    <row r="66" spans="2:5" x14ac:dyDescent="0.2">
      <c r="B66" s="66" t="s">
        <v>84</v>
      </c>
      <c r="C66" s="9" t="s">
        <v>74</v>
      </c>
      <c r="D66" s="97" t="str">
        <f t="shared" si="1"/>
        <v>II.E.2.</v>
      </c>
      <c r="E66" s="67" t="s">
        <v>86</v>
      </c>
    </row>
    <row r="67" spans="2:5" x14ac:dyDescent="0.2">
      <c r="B67" s="66" t="s">
        <v>87</v>
      </c>
      <c r="C67" s="9" t="s">
        <v>79</v>
      </c>
      <c r="D67" s="97" t="str">
        <f t="shared" si="1"/>
        <v>II.F.0.</v>
      </c>
      <c r="E67" s="67" t="s">
        <v>32</v>
      </c>
    </row>
    <row r="68" spans="2:5" x14ac:dyDescent="0.2">
      <c r="B68" s="66" t="s">
        <v>88</v>
      </c>
      <c r="C68" s="9" t="s">
        <v>79</v>
      </c>
      <c r="D68" s="97" t="str">
        <f t="shared" si="1"/>
        <v>II.G.0.</v>
      </c>
      <c r="E68" s="67" t="s">
        <v>34</v>
      </c>
    </row>
    <row r="69" spans="2:5" x14ac:dyDescent="0.2">
      <c r="B69" s="66" t="s">
        <v>89</v>
      </c>
      <c r="C69" s="9" t="s">
        <v>73</v>
      </c>
      <c r="D69" s="97" t="str">
        <f t="shared" si="1"/>
        <v>II.H.1.</v>
      </c>
      <c r="E69" s="67" t="s">
        <v>90</v>
      </c>
    </row>
    <row r="70" spans="2:5" x14ac:dyDescent="0.2">
      <c r="B70" s="66" t="s">
        <v>89</v>
      </c>
      <c r="C70" s="9" t="s">
        <v>74</v>
      </c>
      <c r="D70" s="97" t="str">
        <f t="shared" si="1"/>
        <v>II.H.2.</v>
      </c>
      <c r="E70" s="67" t="s">
        <v>91</v>
      </c>
    </row>
    <row r="71" spans="2:5" x14ac:dyDescent="0.2">
      <c r="B71" s="66" t="s">
        <v>92</v>
      </c>
      <c r="C71" s="9" t="s">
        <v>79</v>
      </c>
      <c r="D71" s="97" t="str">
        <f t="shared" si="1"/>
        <v>II.I.0.</v>
      </c>
      <c r="E71" s="67" t="s">
        <v>38</v>
      </c>
    </row>
    <row r="72" spans="2:5" x14ac:dyDescent="0.2">
      <c r="B72" s="66" t="s">
        <v>93</v>
      </c>
      <c r="C72" s="9" t="s">
        <v>73</v>
      </c>
      <c r="D72" s="97" t="str">
        <f t="shared" si="1"/>
        <v>II.J.1.</v>
      </c>
      <c r="E72" s="67" t="s">
        <v>94</v>
      </c>
    </row>
    <row r="73" spans="2:5" x14ac:dyDescent="0.2">
      <c r="B73" s="66" t="s">
        <v>93</v>
      </c>
      <c r="C73" s="9" t="s">
        <v>74</v>
      </c>
      <c r="D73" s="97" t="str">
        <f t="shared" si="1"/>
        <v>II.J.2.</v>
      </c>
      <c r="E73" s="67" t="s">
        <v>95</v>
      </c>
    </row>
    <row r="74" spans="2:5" x14ac:dyDescent="0.2">
      <c r="B74" s="66" t="s">
        <v>93</v>
      </c>
      <c r="C74" s="9" t="s">
        <v>76</v>
      </c>
      <c r="D74" s="97" t="str">
        <f t="shared" si="1"/>
        <v>II.J.3.</v>
      </c>
      <c r="E74" s="67" t="s">
        <v>96</v>
      </c>
    </row>
    <row r="75" spans="2:5" x14ac:dyDescent="0.2">
      <c r="B75" s="66" t="s">
        <v>93</v>
      </c>
      <c r="C75" s="9" t="s">
        <v>97</v>
      </c>
      <c r="D75" s="97" t="str">
        <f t="shared" si="1"/>
        <v>II.J.4.</v>
      </c>
      <c r="E75" s="67" t="s">
        <v>98</v>
      </c>
    </row>
    <row r="76" spans="2:5" x14ac:dyDescent="0.2">
      <c r="B76" s="66" t="s">
        <v>93</v>
      </c>
      <c r="C76" s="9" t="s">
        <v>99</v>
      </c>
      <c r="D76" s="97" t="str">
        <f t="shared" si="1"/>
        <v>II.J.5.</v>
      </c>
      <c r="E76" s="67" t="s">
        <v>100</v>
      </c>
    </row>
    <row r="77" spans="2:5" x14ac:dyDescent="0.2">
      <c r="B77" s="66" t="s">
        <v>93</v>
      </c>
      <c r="C77" s="9" t="s">
        <v>101</v>
      </c>
      <c r="D77" s="97" t="str">
        <f t="shared" si="1"/>
        <v>II.J.6.</v>
      </c>
      <c r="E77" s="67" t="s">
        <v>102</v>
      </c>
    </row>
    <row r="78" spans="2:5" x14ac:dyDescent="0.2">
      <c r="B78" s="66" t="s">
        <v>93</v>
      </c>
      <c r="C78" s="9" t="s">
        <v>103</v>
      </c>
      <c r="D78" s="97" t="str">
        <f t="shared" si="1"/>
        <v>II.J.7.</v>
      </c>
      <c r="E78" s="67" t="s">
        <v>104</v>
      </c>
    </row>
    <row r="79" spans="2:5" x14ac:dyDescent="0.2">
      <c r="B79" s="66" t="s">
        <v>93</v>
      </c>
      <c r="C79" s="9" t="s">
        <v>105</v>
      </c>
      <c r="D79" s="97" t="str">
        <f t="shared" si="1"/>
        <v>II.J.8.</v>
      </c>
      <c r="E79" s="67" t="s">
        <v>106</v>
      </c>
    </row>
    <row r="80" spans="2:5" x14ac:dyDescent="0.2">
      <c r="B80" s="66" t="s">
        <v>107</v>
      </c>
      <c r="C80" s="9" t="s">
        <v>73</v>
      </c>
      <c r="D80" s="97" t="str">
        <f t="shared" si="1"/>
        <v>II.K.1.</v>
      </c>
      <c r="E80" s="67" t="s">
        <v>108</v>
      </c>
    </row>
    <row r="81" spans="2:5" x14ac:dyDescent="0.2">
      <c r="B81" s="66" t="s">
        <v>107</v>
      </c>
      <c r="C81" s="9" t="s">
        <v>74</v>
      </c>
      <c r="D81" s="97" t="str">
        <f t="shared" si="1"/>
        <v>II.K.2.</v>
      </c>
      <c r="E81" s="67" t="s">
        <v>109</v>
      </c>
    </row>
    <row r="82" spans="2:5" x14ac:dyDescent="0.2">
      <c r="B82" s="66" t="s">
        <v>110</v>
      </c>
      <c r="C82" s="9" t="s">
        <v>73</v>
      </c>
      <c r="D82" s="97" t="str">
        <f t="shared" si="1"/>
        <v>II.L.1.</v>
      </c>
      <c r="E82" s="67" t="s">
        <v>111</v>
      </c>
    </row>
    <row r="83" spans="2:5" x14ac:dyDescent="0.2">
      <c r="B83" s="66" t="s">
        <v>110</v>
      </c>
      <c r="C83" s="9" t="s">
        <v>74</v>
      </c>
      <c r="D83" s="97" t="str">
        <f t="shared" si="1"/>
        <v>II.L.2.</v>
      </c>
      <c r="E83" s="67" t="s">
        <v>112</v>
      </c>
    </row>
    <row r="84" spans="2:5" x14ac:dyDescent="0.2">
      <c r="B84" s="66" t="s">
        <v>113</v>
      </c>
      <c r="C84" s="9" t="s">
        <v>73</v>
      </c>
      <c r="D84" s="97" t="str">
        <f t="shared" si="1"/>
        <v>II.M.1.</v>
      </c>
      <c r="E84" s="67" t="s">
        <v>114</v>
      </c>
    </row>
    <row r="85" spans="2:5" x14ac:dyDescent="0.2">
      <c r="B85" s="66" t="s">
        <v>113</v>
      </c>
      <c r="C85" s="9" t="s">
        <v>74</v>
      </c>
      <c r="D85" s="97" t="str">
        <f t="shared" si="1"/>
        <v>II.M.2.</v>
      </c>
      <c r="E85" s="67" t="s">
        <v>115</v>
      </c>
    </row>
    <row r="86" spans="2:5" x14ac:dyDescent="0.2">
      <c r="B86" s="66" t="s">
        <v>113</v>
      </c>
      <c r="C86" s="9" t="s">
        <v>76</v>
      </c>
      <c r="D86" s="97" t="str">
        <f t="shared" si="1"/>
        <v>II.M.3.</v>
      </c>
      <c r="E86" s="67" t="s">
        <v>116</v>
      </c>
    </row>
    <row r="87" spans="2:5" x14ac:dyDescent="0.2">
      <c r="B87" s="66" t="s">
        <v>113</v>
      </c>
      <c r="C87" s="9" t="s">
        <v>97</v>
      </c>
      <c r="D87" s="97" t="str">
        <f t="shared" si="1"/>
        <v>II.M.4.</v>
      </c>
      <c r="E87" s="67" t="s">
        <v>117</v>
      </c>
    </row>
    <row r="88" spans="2:5" x14ac:dyDescent="0.2">
      <c r="B88" s="66" t="s">
        <v>113</v>
      </c>
      <c r="C88" s="9" t="s">
        <v>99</v>
      </c>
      <c r="D88" s="97" t="str">
        <f t="shared" si="1"/>
        <v>II.M.5.</v>
      </c>
      <c r="E88" s="67" t="s">
        <v>118</v>
      </c>
    </row>
    <row r="89" spans="2:5" x14ac:dyDescent="0.2">
      <c r="B89" s="66" t="s">
        <v>113</v>
      </c>
      <c r="C89" s="9" t="s">
        <v>101</v>
      </c>
      <c r="D89" s="97" t="str">
        <f t="shared" ref="D89:D120" si="2">CONCATENATE(B89,C89)</f>
        <v>II.M.6.</v>
      </c>
      <c r="E89" s="67" t="s">
        <v>119</v>
      </c>
    </row>
    <row r="90" spans="2:5" x14ac:dyDescent="0.2">
      <c r="B90" s="66" t="s">
        <v>113</v>
      </c>
      <c r="C90" s="9" t="s">
        <v>103</v>
      </c>
      <c r="D90" s="97" t="str">
        <f t="shared" si="2"/>
        <v>II.M.7.</v>
      </c>
      <c r="E90" s="67" t="s">
        <v>120</v>
      </c>
    </row>
    <row r="91" spans="2:5" x14ac:dyDescent="0.2">
      <c r="B91" s="66" t="s">
        <v>121</v>
      </c>
      <c r="C91" s="9" t="s">
        <v>73</v>
      </c>
      <c r="D91" s="97" t="str">
        <f t="shared" si="2"/>
        <v>III.A.1.</v>
      </c>
      <c r="E91" s="67" t="s">
        <v>122</v>
      </c>
    </row>
    <row r="92" spans="2:5" x14ac:dyDescent="0.2">
      <c r="B92" s="66" t="s">
        <v>121</v>
      </c>
      <c r="C92" s="9" t="s">
        <v>74</v>
      </c>
      <c r="D92" s="97" t="str">
        <f t="shared" si="2"/>
        <v>III.A.2.</v>
      </c>
      <c r="E92" s="67" t="s">
        <v>123</v>
      </c>
    </row>
    <row r="93" spans="2:5" x14ac:dyDescent="0.2">
      <c r="B93" s="66" t="s">
        <v>121</v>
      </c>
      <c r="C93" s="9" t="s">
        <v>76</v>
      </c>
      <c r="D93" s="97" t="str">
        <f t="shared" si="2"/>
        <v>III.A.3.</v>
      </c>
      <c r="E93" s="67" t="s">
        <v>124</v>
      </c>
    </row>
    <row r="94" spans="2:5" x14ac:dyDescent="0.2">
      <c r="B94" s="66" t="s">
        <v>125</v>
      </c>
      <c r="C94" s="9" t="s">
        <v>73</v>
      </c>
      <c r="D94" s="97" t="str">
        <f t="shared" si="2"/>
        <v>III.B.1.</v>
      </c>
      <c r="E94" s="67" t="s">
        <v>126</v>
      </c>
    </row>
    <row r="95" spans="2:5" x14ac:dyDescent="0.2">
      <c r="B95" s="66" t="s">
        <v>125</v>
      </c>
      <c r="C95" s="9" t="s">
        <v>74</v>
      </c>
      <c r="D95" s="97" t="str">
        <f t="shared" si="2"/>
        <v>III.B.2.</v>
      </c>
      <c r="E95" s="67" t="s">
        <v>127</v>
      </c>
    </row>
    <row r="96" spans="2:5" x14ac:dyDescent="0.2">
      <c r="B96" s="66" t="s">
        <v>125</v>
      </c>
      <c r="C96" s="9" t="s">
        <v>76</v>
      </c>
      <c r="D96" s="97" t="str">
        <f t="shared" si="2"/>
        <v>III.B.3.</v>
      </c>
      <c r="E96" s="67" t="s">
        <v>128</v>
      </c>
    </row>
    <row r="97" spans="2:5" x14ac:dyDescent="0.2">
      <c r="B97" s="66" t="s">
        <v>125</v>
      </c>
      <c r="C97" s="9" t="s">
        <v>97</v>
      </c>
      <c r="D97" s="97" t="str">
        <f t="shared" si="2"/>
        <v>III.B.4.</v>
      </c>
      <c r="E97" s="67" t="s">
        <v>129</v>
      </c>
    </row>
    <row r="98" spans="2:5" x14ac:dyDescent="0.2">
      <c r="B98" s="66" t="s">
        <v>125</v>
      </c>
      <c r="C98" s="9" t="s">
        <v>99</v>
      </c>
      <c r="D98" s="97" t="str">
        <f t="shared" si="2"/>
        <v>III.B.5.</v>
      </c>
      <c r="E98" s="67" t="s">
        <v>130</v>
      </c>
    </row>
    <row r="99" spans="2:5" x14ac:dyDescent="0.2">
      <c r="B99" s="66" t="s">
        <v>131</v>
      </c>
      <c r="C99" s="9" t="s">
        <v>79</v>
      </c>
      <c r="D99" s="97" t="str">
        <f t="shared" si="2"/>
        <v>III.C.0.</v>
      </c>
      <c r="E99" s="68" t="s">
        <v>49</v>
      </c>
    </row>
    <row r="100" spans="2:5" x14ac:dyDescent="0.2">
      <c r="B100" s="66" t="s">
        <v>132</v>
      </c>
      <c r="C100" s="9" t="s">
        <v>79</v>
      </c>
      <c r="D100" s="97" t="str">
        <f t="shared" si="2"/>
        <v>III.D.0.</v>
      </c>
      <c r="E100" s="68" t="s">
        <v>50</v>
      </c>
    </row>
    <row r="101" spans="2:5" x14ac:dyDescent="0.2">
      <c r="B101" s="66" t="s">
        <v>133</v>
      </c>
      <c r="C101" s="9" t="s">
        <v>79</v>
      </c>
      <c r="D101" s="97" t="str">
        <f t="shared" si="2"/>
        <v>III.E.0.</v>
      </c>
      <c r="E101" s="68" t="s">
        <v>51</v>
      </c>
    </row>
    <row r="102" spans="2:5" x14ac:dyDescent="0.2">
      <c r="B102" s="66" t="s">
        <v>134</v>
      </c>
      <c r="C102" s="9" t="s">
        <v>73</v>
      </c>
      <c r="D102" s="97" t="str">
        <f t="shared" si="2"/>
        <v>III.F.1.</v>
      </c>
      <c r="E102" s="67" t="s">
        <v>135</v>
      </c>
    </row>
    <row r="103" spans="2:5" x14ac:dyDescent="0.2">
      <c r="B103" s="66" t="s">
        <v>134</v>
      </c>
      <c r="C103" s="9" t="s">
        <v>74</v>
      </c>
      <c r="D103" s="97" t="str">
        <f t="shared" si="2"/>
        <v>III.F.2.</v>
      </c>
      <c r="E103" s="67" t="s">
        <v>136</v>
      </c>
    </row>
    <row r="104" spans="2:5" x14ac:dyDescent="0.2">
      <c r="B104" s="66" t="s">
        <v>137</v>
      </c>
      <c r="C104" s="9" t="s">
        <v>73</v>
      </c>
      <c r="D104" s="97" t="str">
        <f t="shared" si="2"/>
        <v>III.G.1.</v>
      </c>
      <c r="E104" s="67" t="s">
        <v>138</v>
      </c>
    </row>
    <row r="105" spans="2:5" x14ac:dyDescent="0.2">
      <c r="B105" s="66" t="s">
        <v>137</v>
      </c>
      <c r="C105" s="9" t="s">
        <v>74</v>
      </c>
      <c r="D105" s="97" t="str">
        <f t="shared" si="2"/>
        <v>III.G.2.</v>
      </c>
      <c r="E105" s="67" t="s">
        <v>139</v>
      </c>
    </row>
    <row r="106" spans="2:5" x14ac:dyDescent="0.2">
      <c r="B106" s="66" t="s">
        <v>137</v>
      </c>
      <c r="C106" s="9" t="s">
        <v>76</v>
      </c>
      <c r="D106" s="97" t="str">
        <f t="shared" si="2"/>
        <v>III.G.3.</v>
      </c>
      <c r="E106" s="67" t="s">
        <v>140</v>
      </c>
    </row>
    <row r="107" spans="2:5" ht="14" x14ac:dyDescent="0.2">
      <c r="B107" s="66" t="s">
        <v>141</v>
      </c>
      <c r="C107" s="9" t="s">
        <v>73</v>
      </c>
      <c r="D107" s="97" t="str">
        <f t="shared" si="2"/>
        <v>III.H.1.</v>
      </c>
      <c r="E107" s="69" t="s">
        <v>142</v>
      </c>
    </row>
    <row r="108" spans="2:5" x14ac:dyDescent="0.2">
      <c r="B108" s="66" t="s">
        <v>141</v>
      </c>
      <c r="C108" s="9" t="s">
        <v>74</v>
      </c>
      <c r="D108" s="97" t="str">
        <f t="shared" si="2"/>
        <v>III.H.2.</v>
      </c>
      <c r="E108" s="67" t="s">
        <v>143</v>
      </c>
    </row>
    <row r="109" spans="2:5" x14ac:dyDescent="0.2">
      <c r="B109" s="66" t="s">
        <v>141</v>
      </c>
      <c r="C109" s="9" t="s">
        <v>76</v>
      </c>
      <c r="D109" s="97" t="str">
        <f t="shared" si="2"/>
        <v>III.H.3.</v>
      </c>
      <c r="E109" s="67" t="s">
        <v>144</v>
      </c>
    </row>
    <row r="110" spans="2:5" x14ac:dyDescent="0.2">
      <c r="B110" s="66" t="s">
        <v>145</v>
      </c>
      <c r="C110" s="9" t="s">
        <v>73</v>
      </c>
      <c r="D110" s="97" t="str">
        <f t="shared" si="2"/>
        <v>III.I.1.</v>
      </c>
      <c r="E110" s="67" t="s">
        <v>146</v>
      </c>
    </row>
    <row r="111" spans="2:5" x14ac:dyDescent="0.2">
      <c r="B111" s="66" t="s">
        <v>145</v>
      </c>
      <c r="C111" s="9" t="s">
        <v>74</v>
      </c>
      <c r="D111" s="97" t="str">
        <f t="shared" si="2"/>
        <v>III.I.2.</v>
      </c>
      <c r="E111" s="67" t="s">
        <v>147</v>
      </c>
    </row>
    <row r="112" spans="2:5" x14ac:dyDescent="0.2">
      <c r="B112" s="66" t="s">
        <v>145</v>
      </c>
      <c r="C112" s="9" t="s">
        <v>76</v>
      </c>
      <c r="D112" s="97" t="str">
        <f t="shared" si="2"/>
        <v>III.I.3.</v>
      </c>
      <c r="E112" s="67" t="s">
        <v>148</v>
      </c>
    </row>
    <row r="113" spans="2:5" x14ac:dyDescent="0.2">
      <c r="B113" s="66" t="s">
        <v>149</v>
      </c>
      <c r="C113" s="9" t="s">
        <v>79</v>
      </c>
      <c r="D113" s="97" t="str">
        <f t="shared" si="2"/>
        <v>IV.A.0.</v>
      </c>
      <c r="E113" s="67" t="s">
        <v>56</v>
      </c>
    </row>
    <row r="114" spans="2:5" x14ac:dyDescent="0.2">
      <c r="B114" s="66" t="s">
        <v>150</v>
      </c>
      <c r="C114" s="9" t="s">
        <v>79</v>
      </c>
      <c r="D114" s="97" t="str">
        <f t="shared" si="2"/>
        <v>IV.B.0.</v>
      </c>
      <c r="E114" s="67" t="s">
        <v>57</v>
      </c>
    </row>
    <row r="115" spans="2:5" x14ac:dyDescent="0.2">
      <c r="B115" s="66" t="s">
        <v>151</v>
      </c>
      <c r="C115" s="9" t="s">
        <v>73</v>
      </c>
      <c r="D115" s="97" t="str">
        <f t="shared" si="2"/>
        <v>IV.C.1.</v>
      </c>
      <c r="E115" s="67" t="s">
        <v>152</v>
      </c>
    </row>
    <row r="116" spans="2:5" x14ac:dyDescent="0.2">
      <c r="B116" s="66" t="s">
        <v>151</v>
      </c>
      <c r="C116" s="9" t="s">
        <v>74</v>
      </c>
      <c r="D116" s="97" t="str">
        <f t="shared" si="2"/>
        <v>IV.C.2.</v>
      </c>
      <c r="E116" s="67" t="s">
        <v>153</v>
      </c>
    </row>
    <row r="117" spans="2:5" x14ac:dyDescent="0.2">
      <c r="B117" s="66" t="s">
        <v>154</v>
      </c>
      <c r="C117" s="9" t="s">
        <v>73</v>
      </c>
      <c r="D117" s="97" t="str">
        <f t="shared" si="2"/>
        <v>IV.D.1.</v>
      </c>
      <c r="E117" s="67" t="s">
        <v>155</v>
      </c>
    </row>
    <row r="118" spans="2:5" x14ac:dyDescent="0.2">
      <c r="B118" s="66" t="s">
        <v>154</v>
      </c>
      <c r="C118" s="9" t="s">
        <v>74</v>
      </c>
      <c r="D118" s="97" t="str">
        <f t="shared" si="2"/>
        <v>IV.D.2.</v>
      </c>
      <c r="E118" s="67" t="s">
        <v>156</v>
      </c>
    </row>
    <row r="119" spans="2:5" x14ac:dyDescent="0.2">
      <c r="B119" s="66" t="s">
        <v>154</v>
      </c>
      <c r="C119" s="9" t="s">
        <v>76</v>
      </c>
      <c r="D119" s="97" t="str">
        <f t="shared" si="2"/>
        <v>IV.D.3.</v>
      </c>
      <c r="E119" s="67" t="s">
        <v>157</v>
      </c>
    </row>
    <row r="120" spans="2:5" x14ac:dyDescent="0.2">
      <c r="B120" s="66" t="s">
        <v>158</v>
      </c>
      <c r="C120" s="9" t="s">
        <v>79</v>
      </c>
      <c r="D120" s="97" t="str">
        <f t="shared" si="2"/>
        <v>IV.E.0.</v>
      </c>
      <c r="E120" s="67" t="s">
        <v>60</v>
      </c>
    </row>
    <row r="121" spans="2:5" x14ac:dyDescent="0.2">
      <c r="B121" s="310" t="s">
        <v>747</v>
      </c>
      <c r="C121" s="9" t="s">
        <v>79</v>
      </c>
      <c r="D121" s="308" t="str">
        <f t="shared" ref="D121:D147" si="3">CONCATENATE(B121,C121)</f>
        <v>IV.F.0.</v>
      </c>
      <c r="E121" s="312" t="s">
        <v>796</v>
      </c>
    </row>
    <row r="122" spans="2:5" x14ac:dyDescent="0.2">
      <c r="B122" s="310" t="s">
        <v>748</v>
      </c>
      <c r="C122" s="9" t="s">
        <v>73</v>
      </c>
      <c r="D122" s="308" t="str">
        <f t="shared" si="3"/>
        <v>IV.G.1.</v>
      </c>
      <c r="E122" s="67" t="s">
        <v>173</v>
      </c>
    </row>
    <row r="123" spans="2:5" x14ac:dyDescent="0.2">
      <c r="B123" s="310" t="s">
        <v>748</v>
      </c>
      <c r="C123" s="9" t="s">
        <v>74</v>
      </c>
      <c r="D123" s="308" t="str">
        <f t="shared" si="3"/>
        <v>IV.G.2.</v>
      </c>
      <c r="E123" s="67" t="s">
        <v>174</v>
      </c>
    </row>
    <row r="124" spans="2:5" x14ac:dyDescent="0.2">
      <c r="B124" s="66" t="s">
        <v>159</v>
      </c>
      <c r="C124" s="9" t="s">
        <v>73</v>
      </c>
      <c r="D124" s="97" t="str">
        <f t="shared" si="3"/>
        <v>V.A.1.</v>
      </c>
      <c r="E124" s="67" t="s">
        <v>160</v>
      </c>
    </row>
    <row r="125" spans="2:5" x14ac:dyDescent="0.2">
      <c r="B125" s="66" t="s">
        <v>159</v>
      </c>
      <c r="C125" s="9" t="s">
        <v>74</v>
      </c>
      <c r="D125" s="97" t="str">
        <f t="shared" si="3"/>
        <v>V.A.2.</v>
      </c>
      <c r="E125" s="67" t="s">
        <v>161</v>
      </c>
    </row>
    <row r="126" spans="2:5" x14ac:dyDescent="0.2">
      <c r="B126" s="66" t="s">
        <v>162</v>
      </c>
      <c r="C126" s="9" t="s">
        <v>73</v>
      </c>
      <c r="D126" s="97" t="str">
        <f t="shared" si="3"/>
        <v>V.B.1.</v>
      </c>
      <c r="E126" s="67" t="s">
        <v>163</v>
      </c>
    </row>
    <row r="127" spans="2:5" x14ac:dyDescent="0.2">
      <c r="B127" s="66" t="s">
        <v>162</v>
      </c>
      <c r="C127" s="9" t="s">
        <v>74</v>
      </c>
      <c r="D127" s="97" t="str">
        <f t="shared" si="3"/>
        <v>V.B.2.</v>
      </c>
      <c r="E127" s="67" t="s">
        <v>164</v>
      </c>
    </row>
    <row r="128" spans="2:5" x14ac:dyDescent="0.2">
      <c r="B128" s="66" t="s">
        <v>165</v>
      </c>
      <c r="C128" s="9" t="s">
        <v>73</v>
      </c>
      <c r="D128" s="97" t="str">
        <f t="shared" si="3"/>
        <v>V.C.1.</v>
      </c>
      <c r="E128" s="67" t="s">
        <v>166</v>
      </c>
    </row>
    <row r="129" spans="2:5" x14ac:dyDescent="0.2">
      <c r="B129" s="66" t="s">
        <v>165</v>
      </c>
      <c r="C129" s="9" t="s">
        <v>74</v>
      </c>
      <c r="D129" s="97" t="str">
        <f t="shared" si="3"/>
        <v>V.C.2.</v>
      </c>
      <c r="E129" s="67" t="s">
        <v>167</v>
      </c>
    </row>
    <row r="130" spans="2:5" x14ac:dyDescent="0.2">
      <c r="B130" s="66" t="s">
        <v>168</v>
      </c>
      <c r="C130" s="9" t="s">
        <v>79</v>
      </c>
      <c r="D130" s="97" t="str">
        <f t="shared" si="3"/>
        <v>V.D.0.</v>
      </c>
      <c r="E130" s="67" t="s">
        <v>64</v>
      </c>
    </row>
    <row r="131" spans="2:5" x14ac:dyDescent="0.2">
      <c r="B131" s="66" t="s">
        <v>169</v>
      </c>
      <c r="C131" s="9" t="s">
        <v>73</v>
      </c>
      <c r="D131" s="97" t="str">
        <f t="shared" si="3"/>
        <v>V.E.1.</v>
      </c>
      <c r="E131" s="67" t="s">
        <v>170</v>
      </c>
    </row>
    <row r="132" spans="2:5" x14ac:dyDescent="0.2">
      <c r="B132" s="66" t="s">
        <v>169</v>
      </c>
      <c r="C132" s="9" t="s">
        <v>74</v>
      </c>
      <c r="D132" s="97" t="str">
        <f t="shared" si="3"/>
        <v>V.E.2.</v>
      </c>
      <c r="E132" s="67" t="s">
        <v>171</v>
      </c>
    </row>
    <row r="133" spans="2:5" x14ac:dyDescent="0.2">
      <c r="B133" s="66" t="s">
        <v>172</v>
      </c>
      <c r="C133" s="9" t="s">
        <v>73</v>
      </c>
      <c r="D133" s="97" t="str">
        <f t="shared" si="3"/>
        <v>V.F.1.</v>
      </c>
      <c r="E133" s="67" t="s">
        <v>176</v>
      </c>
    </row>
    <row r="134" spans="2:5" x14ac:dyDescent="0.2">
      <c r="B134" s="66" t="s">
        <v>172</v>
      </c>
      <c r="C134" s="9" t="s">
        <v>74</v>
      </c>
      <c r="D134" s="97" t="str">
        <f t="shared" si="3"/>
        <v>V.F.2.</v>
      </c>
      <c r="E134" s="67" t="s">
        <v>177</v>
      </c>
    </row>
    <row r="135" spans="2:5" x14ac:dyDescent="0.2">
      <c r="B135" s="66" t="s">
        <v>175</v>
      </c>
      <c r="C135" s="9" t="s">
        <v>73</v>
      </c>
      <c r="D135" s="97" t="str">
        <f t="shared" si="3"/>
        <v>V.G.1.</v>
      </c>
      <c r="E135" s="67" t="s">
        <v>179</v>
      </c>
    </row>
    <row r="136" spans="2:5" x14ac:dyDescent="0.2">
      <c r="B136" s="66" t="s">
        <v>175</v>
      </c>
      <c r="C136" s="9" t="s">
        <v>74</v>
      </c>
      <c r="D136" s="97" t="str">
        <f t="shared" si="3"/>
        <v>V.G.2.</v>
      </c>
      <c r="E136" s="67" t="s">
        <v>180</v>
      </c>
    </row>
    <row r="137" spans="2:5" x14ac:dyDescent="0.2">
      <c r="B137" s="66" t="s">
        <v>175</v>
      </c>
      <c r="C137" s="9" t="s">
        <v>76</v>
      </c>
      <c r="D137" s="97" t="str">
        <f t="shared" si="3"/>
        <v>V.G.3.</v>
      </c>
      <c r="E137" s="67" t="s">
        <v>181</v>
      </c>
    </row>
    <row r="138" spans="2:5" x14ac:dyDescent="0.2">
      <c r="B138" s="66" t="s">
        <v>175</v>
      </c>
      <c r="C138" s="9" t="s">
        <v>97</v>
      </c>
      <c r="D138" s="97" t="str">
        <f t="shared" si="3"/>
        <v>V.G.4.</v>
      </c>
      <c r="E138" s="67" t="s">
        <v>182</v>
      </c>
    </row>
    <row r="139" spans="2:5" x14ac:dyDescent="0.2">
      <c r="B139" s="66" t="s">
        <v>175</v>
      </c>
      <c r="C139" s="9" t="s">
        <v>99</v>
      </c>
      <c r="D139" s="97" t="str">
        <f t="shared" si="3"/>
        <v>V.G.5.</v>
      </c>
      <c r="E139" s="67" t="s">
        <v>183</v>
      </c>
    </row>
    <row r="140" spans="2:5" x14ac:dyDescent="0.2">
      <c r="B140" s="66" t="s">
        <v>175</v>
      </c>
      <c r="C140" s="9" t="s">
        <v>101</v>
      </c>
      <c r="D140" s="97" t="str">
        <f t="shared" si="3"/>
        <v>V.G.6.</v>
      </c>
      <c r="E140" s="67" t="s">
        <v>184</v>
      </c>
    </row>
    <row r="141" spans="2:5" x14ac:dyDescent="0.2">
      <c r="B141" s="66" t="s">
        <v>178</v>
      </c>
      <c r="C141" s="9" t="s">
        <v>73</v>
      </c>
      <c r="D141" s="97" t="str">
        <f t="shared" si="3"/>
        <v>V.H.1.</v>
      </c>
      <c r="E141" s="67" t="s">
        <v>186</v>
      </c>
    </row>
    <row r="142" spans="2:5" x14ac:dyDescent="0.2">
      <c r="B142" s="66" t="s">
        <v>178</v>
      </c>
      <c r="C142" s="9" t="s">
        <v>74</v>
      </c>
      <c r="D142" s="97" t="str">
        <f t="shared" si="3"/>
        <v>V.H.2.</v>
      </c>
      <c r="E142" s="67" t="s">
        <v>187</v>
      </c>
    </row>
    <row r="143" spans="2:5" x14ac:dyDescent="0.2">
      <c r="B143" s="66" t="s">
        <v>178</v>
      </c>
      <c r="C143" s="71" t="s">
        <v>76</v>
      </c>
      <c r="D143" s="97" t="str">
        <f t="shared" si="3"/>
        <v>V.H.3.</v>
      </c>
      <c r="E143" s="72" t="s">
        <v>188</v>
      </c>
    </row>
    <row r="144" spans="2:5" x14ac:dyDescent="0.2">
      <c r="B144" s="66" t="s">
        <v>185</v>
      </c>
      <c r="C144" s="9" t="s">
        <v>73</v>
      </c>
      <c r="D144" s="97" t="str">
        <f t="shared" si="3"/>
        <v>V.I.1.</v>
      </c>
      <c r="E144" s="67" t="s">
        <v>190</v>
      </c>
    </row>
    <row r="145" spans="2:8" x14ac:dyDescent="0.2">
      <c r="B145" s="70" t="s">
        <v>185</v>
      </c>
      <c r="C145" s="71" t="s">
        <v>74</v>
      </c>
      <c r="D145" s="281" t="str">
        <f t="shared" si="3"/>
        <v>V.I.2.</v>
      </c>
      <c r="E145" s="72" t="s">
        <v>191</v>
      </c>
    </row>
    <row r="146" spans="2:8" x14ac:dyDescent="0.2">
      <c r="B146" s="311" t="s">
        <v>185</v>
      </c>
      <c r="C146" s="71" t="s">
        <v>76</v>
      </c>
      <c r="D146" s="281" t="str">
        <f t="shared" si="3"/>
        <v>V.I.3.</v>
      </c>
      <c r="E146" s="313" t="s">
        <v>192</v>
      </c>
    </row>
    <row r="147" spans="2:8" x14ac:dyDescent="0.2">
      <c r="B147" s="311" t="s">
        <v>189</v>
      </c>
      <c r="C147" s="9" t="s">
        <v>79</v>
      </c>
      <c r="D147" s="281" t="str">
        <f t="shared" si="3"/>
        <v>V.J.0.</v>
      </c>
      <c r="E147" s="67" t="s">
        <v>71</v>
      </c>
    </row>
    <row r="148" spans="2:8" x14ac:dyDescent="0.2">
      <c r="B148" s="311"/>
      <c r="C148" s="9"/>
      <c r="D148" s="281"/>
      <c r="E148" s="67"/>
    </row>
    <row r="149" spans="2:8" x14ac:dyDescent="0.2">
      <c r="B149" s="311"/>
      <c r="C149" s="71"/>
      <c r="D149" s="281"/>
      <c r="E149" s="313"/>
    </row>
    <row r="156" spans="2:8" x14ac:dyDescent="0.2">
      <c r="B156" s="73" t="s">
        <v>388</v>
      </c>
      <c r="C156" s="74" t="s">
        <v>389</v>
      </c>
      <c r="D156" s="74" t="s">
        <v>390</v>
      </c>
      <c r="E156" s="79" t="s">
        <v>391</v>
      </c>
      <c r="F156" s="74" t="s">
        <v>392</v>
      </c>
      <c r="G156" s="74" t="s">
        <v>393</v>
      </c>
      <c r="H156" s="105" t="s">
        <v>394</v>
      </c>
    </row>
    <row r="157" spans="2:8" x14ac:dyDescent="0.2">
      <c r="B157" s="66" t="s">
        <v>194</v>
      </c>
      <c r="C157" s="9" t="s">
        <v>195</v>
      </c>
      <c r="D157" s="97" t="str">
        <f t="shared" ref="D157:D188" si="4">CONCATENATE(B157,C157)</f>
        <v>II.A.1.a.</v>
      </c>
      <c r="E157" s="8" t="s">
        <v>196</v>
      </c>
      <c r="F157" s="97">
        <v>0.5</v>
      </c>
      <c r="G157" s="97">
        <v>5</v>
      </c>
      <c r="H157" s="101" t="s">
        <v>197</v>
      </c>
    </row>
    <row r="158" spans="2:8" x14ac:dyDescent="0.2">
      <c r="B158" s="66" t="s">
        <v>194</v>
      </c>
      <c r="C158" s="9" t="s">
        <v>198</v>
      </c>
      <c r="D158" s="97" t="str">
        <f t="shared" si="4"/>
        <v>II.A.1.b.</v>
      </c>
      <c r="E158" s="8" t="s">
        <v>199</v>
      </c>
      <c r="F158" s="97">
        <v>0.25</v>
      </c>
      <c r="G158" s="97">
        <v>0.5</v>
      </c>
      <c r="H158" s="101" t="s">
        <v>197</v>
      </c>
    </row>
    <row r="159" spans="2:8" x14ac:dyDescent="0.2">
      <c r="B159" s="66" t="s">
        <v>200</v>
      </c>
      <c r="C159" s="9" t="s">
        <v>195</v>
      </c>
      <c r="D159" s="97" t="str">
        <f t="shared" si="4"/>
        <v>II.A.2.a.</v>
      </c>
      <c r="E159" s="8" t="s">
        <v>196</v>
      </c>
      <c r="F159" s="97">
        <v>1</v>
      </c>
      <c r="G159" s="97">
        <v>10</v>
      </c>
      <c r="H159" s="101" t="s">
        <v>197</v>
      </c>
    </row>
    <row r="160" spans="2:8" x14ac:dyDescent="0.2">
      <c r="B160" s="66" t="s">
        <v>200</v>
      </c>
      <c r="C160" s="9" t="s">
        <v>198</v>
      </c>
      <c r="D160" s="97" t="str">
        <f t="shared" si="4"/>
        <v>II.A.2.b.</v>
      </c>
      <c r="E160" s="8" t="s">
        <v>199</v>
      </c>
      <c r="F160" s="97">
        <v>0.5</v>
      </c>
      <c r="G160" s="97">
        <v>1</v>
      </c>
      <c r="H160" s="101" t="s">
        <v>197</v>
      </c>
    </row>
    <row r="161" spans="2:8" x14ac:dyDescent="0.2">
      <c r="B161" s="66" t="s">
        <v>201</v>
      </c>
      <c r="C161" s="9" t="s">
        <v>195</v>
      </c>
      <c r="D161" s="97" t="str">
        <f t="shared" si="4"/>
        <v>II.A.3.a.</v>
      </c>
      <c r="E161" s="8" t="s">
        <v>202</v>
      </c>
      <c r="F161" s="97">
        <v>4</v>
      </c>
      <c r="G161" s="97">
        <v>11</v>
      </c>
      <c r="H161" s="101" t="s">
        <v>197</v>
      </c>
    </row>
    <row r="162" spans="2:8" x14ac:dyDescent="0.2">
      <c r="B162" s="66" t="s">
        <v>201</v>
      </c>
      <c r="C162" s="9" t="s">
        <v>198</v>
      </c>
      <c r="D162" s="97" t="str">
        <f t="shared" si="4"/>
        <v>II.A.3.b.</v>
      </c>
      <c r="E162" s="8" t="s">
        <v>203</v>
      </c>
      <c r="F162" s="97">
        <v>2</v>
      </c>
      <c r="G162" s="97"/>
      <c r="H162" s="101"/>
    </row>
    <row r="163" spans="2:8" x14ac:dyDescent="0.2">
      <c r="B163" s="66" t="s">
        <v>201</v>
      </c>
      <c r="C163" s="9" t="s">
        <v>204</v>
      </c>
      <c r="D163" s="97" t="str">
        <f t="shared" si="4"/>
        <v>II.A.3.c.</v>
      </c>
      <c r="E163" s="8" t="s">
        <v>205</v>
      </c>
      <c r="F163" s="97">
        <v>2</v>
      </c>
      <c r="G163" s="97"/>
      <c r="H163" s="101"/>
    </row>
    <row r="164" spans="2:8" x14ac:dyDescent="0.2">
      <c r="B164" s="66" t="s">
        <v>201</v>
      </c>
      <c r="C164" s="9" t="s">
        <v>206</v>
      </c>
      <c r="D164" s="97" t="str">
        <f t="shared" si="4"/>
        <v>II.A.3.d.</v>
      </c>
      <c r="E164" s="8" t="s">
        <v>207</v>
      </c>
      <c r="F164" s="97">
        <v>3</v>
      </c>
      <c r="G164" s="97"/>
      <c r="H164" s="101"/>
    </row>
    <row r="165" spans="2:8" x14ac:dyDescent="0.2">
      <c r="B165" s="66" t="s">
        <v>201</v>
      </c>
      <c r="C165" s="9" t="s">
        <v>208</v>
      </c>
      <c r="D165" s="97" t="str">
        <f t="shared" si="4"/>
        <v>II.A.3.e.</v>
      </c>
      <c r="E165" s="8" t="s">
        <v>209</v>
      </c>
      <c r="F165" s="97">
        <v>1</v>
      </c>
      <c r="G165" s="97"/>
      <c r="H165" s="101"/>
    </row>
    <row r="166" spans="2:8" x14ac:dyDescent="0.2">
      <c r="B166" s="66" t="s">
        <v>210</v>
      </c>
      <c r="C166" s="9" t="s">
        <v>195</v>
      </c>
      <c r="D166" s="97" t="str">
        <f t="shared" si="4"/>
        <v>II.B.0.a.</v>
      </c>
      <c r="E166" s="8" t="s">
        <v>24</v>
      </c>
      <c r="F166" s="97">
        <v>1</v>
      </c>
      <c r="G166" s="97">
        <v>1</v>
      </c>
      <c r="H166" s="101" t="s">
        <v>211</v>
      </c>
    </row>
    <row r="167" spans="2:8" x14ac:dyDescent="0.2">
      <c r="B167" s="66" t="s">
        <v>212</v>
      </c>
      <c r="C167" s="9" t="s">
        <v>195</v>
      </c>
      <c r="D167" s="97" t="str">
        <f t="shared" si="4"/>
        <v>II.C.0.a.</v>
      </c>
      <c r="E167" s="8" t="s">
        <v>26</v>
      </c>
      <c r="F167" s="97">
        <v>1</v>
      </c>
      <c r="G167" s="97">
        <v>1</v>
      </c>
      <c r="H167" s="101" t="s">
        <v>197</v>
      </c>
    </row>
    <row r="168" spans="2:8" x14ac:dyDescent="0.2">
      <c r="B168" s="66" t="s">
        <v>213</v>
      </c>
      <c r="C168" s="9" t="s">
        <v>195</v>
      </c>
      <c r="D168" s="97" t="str">
        <f t="shared" si="4"/>
        <v>II.D.1.a.</v>
      </c>
      <c r="E168" s="8" t="s">
        <v>214</v>
      </c>
      <c r="F168" s="97">
        <v>8</v>
      </c>
      <c r="G168" s="97">
        <v>4</v>
      </c>
      <c r="H168" s="101" t="s">
        <v>215</v>
      </c>
    </row>
    <row r="169" spans="2:8" x14ac:dyDescent="0.2">
      <c r="B169" s="66" t="s">
        <v>213</v>
      </c>
      <c r="C169" s="9" t="s">
        <v>198</v>
      </c>
      <c r="D169" s="97" t="str">
        <f t="shared" si="4"/>
        <v>II.D.1.b.</v>
      </c>
      <c r="E169" s="8" t="s">
        <v>216</v>
      </c>
      <c r="F169" s="97">
        <v>3</v>
      </c>
      <c r="G169" s="97">
        <v>6</v>
      </c>
      <c r="H169" s="101" t="s">
        <v>215</v>
      </c>
    </row>
    <row r="170" spans="2:8" x14ac:dyDescent="0.2">
      <c r="B170" s="66" t="s">
        <v>213</v>
      </c>
      <c r="C170" s="9" t="s">
        <v>204</v>
      </c>
      <c r="D170" s="97" t="str">
        <f t="shared" si="4"/>
        <v>II.D.1.c.</v>
      </c>
      <c r="E170" s="8" t="s">
        <v>217</v>
      </c>
      <c r="F170" s="97">
        <v>1</v>
      </c>
      <c r="G170" s="97">
        <v>8</v>
      </c>
      <c r="H170" s="101" t="s">
        <v>215</v>
      </c>
    </row>
    <row r="171" spans="2:8" x14ac:dyDescent="0.2">
      <c r="B171" s="66" t="s">
        <v>213</v>
      </c>
      <c r="C171" s="9" t="s">
        <v>206</v>
      </c>
      <c r="D171" s="97" t="str">
        <f t="shared" si="4"/>
        <v>II.D.1.d.</v>
      </c>
      <c r="E171" s="8" t="s">
        <v>218</v>
      </c>
      <c r="F171" s="97">
        <v>1</v>
      </c>
      <c r="G171" s="97">
        <v>10</v>
      </c>
      <c r="H171" s="101" t="s">
        <v>215</v>
      </c>
    </row>
    <row r="172" spans="2:8" x14ac:dyDescent="0.2">
      <c r="B172" s="66" t="s">
        <v>219</v>
      </c>
      <c r="C172" s="9" t="s">
        <v>195</v>
      </c>
      <c r="D172" s="97" t="str">
        <f t="shared" si="4"/>
        <v>II.D.2.a.</v>
      </c>
      <c r="E172" s="8" t="s">
        <v>214</v>
      </c>
      <c r="F172" s="97">
        <v>6</v>
      </c>
      <c r="G172" s="97">
        <v>4</v>
      </c>
      <c r="H172" s="101" t="s">
        <v>215</v>
      </c>
    </row>
    <row r="173" spans="2:8" x14ac:dyDescent="0.2">
      <c r="B173" s="66" t="s">
        <v>219</v>
      </c>
      <c r="C173" s="9" t="s">
        <v>198</v>
      </c>
      <c r="D173" s="97" t="str">
        <f t="shared" si="4"/>
        <v>II.D.2.b.</v>
      </c>
      <c r="E173" s="8" t="s">
        <v>216</v>
      </c>
      <c r="F173" s="97">
        <v>2</v>
      </c>
      <c r="G173" s="97">
        <v>6</v>
      </c>
      <c r="H173" s="101" t="s">
        <v>215</v>
      </c>
    </row>
    <row r="174" spans="2:8" x14ac:dyDescent="0.2">
      <c r="B174" s="66" t="s">
        <v>219</v>
      </c>
      <c r="C174" s="9" t="s">
        <v>204</v>
      </c>
      <c r="D174" s="97" t="str">
        <f t="shared" si="4"/>
        <v>II.D.2.c.</v>
      </c>
      <c r="E174" s="8" t="s">
        <v>217</v>
      </c>
      <c r="F174" s="97">
        <v>0.5</v>
      </c>
      <c r="G174" s="97">
        <v>8</v>
      </c>
      <c r="H174" s="101" t="s">
        <v>215</v>
      </c>
    </row>
    <row r="175" spans="2:8" x14ac:dyDescent="0.2">
      <c r="B175" s="66" t="s">
        <v>219</v>
      </c>
      <c r="C175" s="9" t="s">
        <v>206</v>
      </c>
      <c r="D175" s="97" t="str">
        <f t="shared" si="4"/>
        <v>II.D.2.d.</v>
      </c>
      <c r="E175" s="8" t="s">
        <v>218</v>
      </c>
      <c r="F175" s="97">
        <v>0.5</v>
      </c>
      <c r="G175" s="97">
        <v>10</v>
      </c>
      <c r="H175" s="101" t="s">
        <v>215</v>
      </c>
    </row>
    <row r="176" spans="2:8" x14ac:dyDescent="0.2">
      <c r="B176" s="66" t="s">
        <v>220</v>
      </c>
      <c r="C176" s="9" t="s">
        <v>195</v>
      </c>
      <c r="D176" s="97" t="str">
        <f t="shared" si="4"/>
        <v>II.E.1.a.</v>
      </c>
      <c r="E176" s="8" t="s">
        <v>85</v>
      </c>
      <c r="F176" s="97">
        <v>1</v>
      </c>
      <c r="G176" s="97">
        <v>4</v>
      </c>
      <c r="H176" s="101" t="s">
        <v>215</v>
      </c>
    </row>
    <row r="177" spans="2:8" x14ac:dyDescent="0.2">
      <c r="B177" s="66" t="s">
        <v>221</v>
      </c>
      <c r="C177" s="9" t="s">
        <v>195</v>
      </c>
      <c r="D177" s="97" t="str">
        <f t="shared" si="4"/>
        <v>II.E.2.a.</v>
      </c>
      <c r="E177" s="8" t="s">
        <v>86</v>
      </c>
      <c r="F177" s="97">
        <v>0.5</v>
      </c>
      <c r="G177" s="97">
        <v>8</v>
      </c>
      <c r="H177" s="101" t="s">
        <v>215</v>
      </c>
    </row>
    <row r="178" spans="2:8" x14ac:dyDescent="0.2">
      <c r="B178" s="66" t="s">
        <v>222</v>
      </c>
      <c r="C178" s="9" t="s">
        <v>195</v>
      </c>
      <c r="D178" s="97" t="str">
        <f t="shared" si="4"/>
        <v>II.F.0.a.</v>
      </c>
      <c r="E178" s="8" t="s">
        <v>32</v>
      </c>
      <c r="F178" s="97">
        <v>2</v>
      </c>
      <c r="G178" s="97">
        <v>2</v>
      </c>
      <c r="H178" s="101" t="s">
        <v>223</v>
      </c>
    </row>
    <row r="179" spans="2:8" x14ac:dyDescent="0.2">
      <c r="B179" s="66" t="s">
        <v>224</v>
      </c>
      <c r="C179" s="9" t="s">
        <v>195</v>
      </c>
      <c r="D179" s="97" t="str">
        <f t="shared" si="4"/>
        <v>II.G.0.a.</v>
      </c>
      <c r="E179" s="8" t="s">
        <v>34</v>
      </c>
      <c r="F179" s="97">
        <v>2</v>
      </c>
      <c r="G179" s="97">
        <v>1</v>
      </c>
      <c r="H179" s="101" t="s">
        <v>225</v>
      </c>
    </row>
    <row r="180" spans="2:8" x14ac:dyDescent="0.2">
      <c r="B180" s="66" t="s">
        <v>226</v>
      </c>
      <c r="C180" s="9" t="s">
        <v>195</v>
      </c>
      <c r="D180" s="97" t="str">
        <f t="shared" si="4"/>
        <v>II.H.1.a.</v>
      </c>
      <c r="E180" s="8" t="s">
        <v>90</v>
      </c>
      <c r="F180" s="97">
        <v>20</v>
      </c>
      <c r="G180" s="97">
        <v>1</v>
      </c>
      <c r="H180" s="101" t="s">
        <v>227</v>
      </c>
    </row>
    <row r="181" spans="2:8" x14ac:dyDescent="0.2">
      <c r="B181" s="66" t="s">
        <v>228</v>
      </c>
      <c r="C181" s="9" t="s">
        <v>195</v>
      </c>
      <c r="D181" s="97" t="str">
        <f t="shared" si="4"/>
        <v>II.H.2.a.</v>
      </c>
      <c r="E181" s="8" t="s">
        <v>91</v>
      </c>
      <c r="F181" s="97">
        <v>5</v>
      </c>
      <c r="G181" s="97">
        <v>1</v>
      </c>
      <c r="H181" s="101" t="s">
        <v>229</v>
      </c>
    </row>
    <row r="182" spans="2:8" x14ac:dyDescent="0.2">
      <c r="B182" s="66" t="s">
        <v>230</v>
      </c>
      <c r="C182" s="9" t="s">
        <v>195</v>
      </c>
      <c r="D182" s="97" t="str">
        <f t="shared" si="4"/>
        <v>II.I.0.a.</v>
      </c>
      <c r="E182" s="8" t="s">
        <v>38</v>
      </c>
      <c r="F182" s="97">
        <v>5</v>
      </c>
      <c r="G182" s="97">
        <v>2</v>
      </c>
      <c r="H182" s="101" t="s">
        <v>231</v>
      </c>
    </row>
    <row r="183" spans="2:8" x14ac:dyDescent="0.2">
      <c r="B183" s="66" t="s">
        <v>232</v>
      </c>
      <c r="C183" s="9" t="s">
        <v>195</v>
      </c>
      <c r="D183" s="97" t="str">
        <f t="shared" si="4"/>
        <v>II.J.1.a.</v>
      </c>
      <c r="E183" s="8" t="s">
        <v>94</v>
      </c>
      <c r="F183" s="97">
        <v>6</v>
      </c>
      <c r="G183" s="98">
        <v>1</v>
      </c>
      <c r="H183" s="78" t="s">
        <v>233</v>
      </c>
    </row>
    <row r="184" spans="2:8" x14ac:dyDescent="0.2">
      <c r="B184" s="66" t="s">
        <v>234</v>
      </c>
      <c r="C184" s="9" t="s">
        <v>195</v>
      </c>
      <c r="D184" s="97" t="str">
        <f t="shared" si="4"/>
        <v>II.J.2.a.</v>
      </c>
      <c r="E184" s="8" t="s">
        <v>95</v>
      </c>
      <c r="F184" s="97">
        <v>5</v>
      </c>
      <c r="G184" s="282"/>
      <c r="H184" s="102"/>
    </row>
    <row r="185" spans="2:8" x14ac:dyDescent="0.2">
      <c r="B185" s="66" t="s">
        <v>235</v>
      </c>
      <c r="C185" s="9" t="s">
        <v>195</v>
      </c>
      <c r="D185" s="97" t="str">
        <f t="shared" si="4"/>
        <v>II.J.3.a.</v>
      </c>
      <c r="E185" s="8" t="s">
        <v>96</v>
      </c>
      <c r="F185" s="97">
        <v>4</v>
      </c>
      <c r="G185" s="99"/>
      <c r="H185" s="102"/>
    </row>
    <row r="186" spans="2:8" x14ac:dyDescent="0.2">
      <c r="B186" s="66" t="s">
        <v>236</v>
      </c>
      <c r="C186" s="9" t="s">
        <v>195</v>
      </c>
      <c r="D186" s="97" t="str">
        <f t="shared" si="4"/>
        <v>II.J.4.a.</v>
      </c>
      <c r="E186" s="8" t="s">
        <v>98</v>
      </c>
      <c r="F186" s="97">
        <v>4</v>
      </c>
      <c r="G186" s="282"/>
      <c r="H186" s="102"/>
    </row>
    <row r="187" spans="2:8" x14ac:dyDescent="0.2">
      <c r="B187" s="66" t="s">
        <v>237</v>
      </c>
      <c r="C187" s="9" t="s">
        <v>195</v>
      </c>
      <c r="D187" s="97" t="str">
        <f t="shared" si="4"/>
        <v>II.J.5.a.</v>
      </c>
      <c r="E187" s="8" t="s">
        <v>100</v>
      </c>
      <c r="F187" s="97">
        <v>4</v>
      </c>
      <c r="G187" s="99"/>
      <c r="H187" s="102"/>
    </row>
    <row r="188" spans="2:8" x14ac:dyDescent="0.2">
      <c r="B188" s="66" t="s">
        <v>238</v>
      </c>
      <c r="C188" s="9" t="s">
        <v>195</v>
      </c>
      <c r="D188" s="97" t="str">
        <f t="shared" si="4"/>
        <v>II.J.6.a.</v>
      </c>
      <c r="E188" s="8" t="s">
        <v>102</v>
      </c>
      <c r="F188" s="97">
        <v>3</v>
      </c>
      <c r="G188" s="282"/>
      <c r="H188" s="102"/>
    </row>
    <row r="189" spans="2:8" x14ac:dyDescent="0.2">
      <c r="B189" s="66" t="s">
        <v>239</v>
      </c>
      <c r="C189" s="9" t="s">
        <v>195</v>
      </c>
      <c r="D189" s="97" t="str">
        <f t="shared" ref="D189:D220" si="5">CONCATENATE(B189,C189)</f>
        <v>II.J.7.a.</v>
      </c>
      <c r="E189" s="8" t="s">
        <v>104</v>
      </c>
      <c r="F189" s="97">
        <v>3</v>
      </c>
      <c r="G189" s="282"/>
      <c r="H189" s="102"/>
    </row>
    <row r="190" spans="2:8" x14ac:dyDescent="0.2">
      <c r="B190" s="66" t="s">
        <v>240</v>
      </c>
      <c r="C190" s="9" t="s">
        <v>195</v>
      </c>
      <c r="D190" s="97" t="str">
        <f t="shared" si="5"/>
        <v>II.J.8.a.</v>
      </c>
      <c r="E190" s="8" t="s">
        <v>106</v>
      </c>
      <c r="F190" s="97">
        <v>3</v>
      </c>
      <c r="G190" s="283"/>
      <c r="H190" s="103"/>
    </row>
    <row r="191" spans="2:8" x14ac:dyDescent="0.2">
      <c r="B191" s="66" t="s">
        <v>241</v>
      </c>
      <c r="C191" s="9" t="s">
        <v>195</v>
      </c>
      <c r="D191" s="97" t="str">
        <f t="shared" si="5"/>
        <v>II.K.1.a.</v>
      </c>
      <c r="E191" s="8" t="s">
        <v>108</v>
      </c>
      <c r="F191" s="97">
        <v>2</v>
      </c>
      <c r="G191" s="280">
        <v>1</v>
      </c>
      <c r="H191" s="101" t="s">
        <v>242</v>
      </c>
    </row>
    <row r="192" spans="2:8" x14ac:dyDescent="0.2">
      <c r="B192" s="66" t="s">
        <v>243</v>
      </c>
      <c r="C192" s="9" t="s">
        <v>195</v>
      </c>
      <c r="D192" s="97" t="str">
        <f t="shared" si="5"/>
        <v>II.K.2.a.</v>
      </c>
      <c r="E192" s="8" t="s">
        <v>109</v>
      </c>
      <c r="F192" s="97">
        <v>1</v>
      </c>
      <c r="G192" s="280">
        <v>1</v>
      </c>
      <c r="H192" s="101" t="s">
        <v>242</v>
      </c>
    </row>
    <row r="193" spans="2:8" x14ac:dyDescent="0.2">
      <c r="B193" s="66" t="s">
        <v>244</v>
      </c>
      <c r="C193" s="9" t="s">
        <v>195</v>
      </c>
      <c r="D193" s="97" t="str">
        <f t="shared" si="5"/>
        <v>II.L.1.a.</v>
      </c>
      <c r="E193" s="8" t="s">
        <v>111</v>
      </c>
      <c r="F193" s="97">
        <v>5</v>
      </c>
      <c r="G193" s="97">
        <v>1</v>
      </c>
      <c r="H193" s="101" t="s">
        <v>242</v>
      </c>
    </row>
    <row r="194" spans="2:8" x14ac:dyDescent="0.2">
      <c r="B194" s="66" t="s">
        <v>245</v>
      </c>
      <c r="C194" s="9" t="s">
        <v>195</v>
      </c>
      <c r="D194" s="97" t="str">
        <f t="shared" si="5"/>
        <v>II.L.2.a.</v>
      </c>
      <c r="E194" s="8" t="s">
        <v>112</v>
      </c>
      <c r="F194" s="97">
        <v>4</v>
      </c>
      <c r="G194" s="97">
        <v>1</v>
      </c>
      <c r="H194" s="101" t="s">
        <v>242</v>
      </c>
    </row>
    <row r="195" spans="2:8" x14ac:dyDescent="0.2">
      <c r="B195" s="66" t="s">
        <v>246</v>
      </c>
      <c r="C195" s="9" t="s">
        <v>195</v>
      </c>
      <c r="D195" s="97" t="str">
        <f t="shared" si="5"/>
        <v>II.M.1.a.</v>
      </c>
      <c r="E195" s="8" t="s">
        <v>114</v>
      </c>
      <c r="F195" s="97">
        <v>15</v>
      </c>
      <c r="G195" s="97"/>
      <c r="H195" s="101"/>
    </row>
    <row r="196" spans="2:8" x14ac:dyDescent="0.2">
      <c r="B196" s="66" t="s">
        <v>247</v>
      </c>
      <c r="C196" s="9" t="s">
        <v>195</v>
      </c>
      <c r="D196" s="97" t="str">
        <f t="shared" si="5"/>
        <v>II.M.2.a.</v>
      </c>
      <c r="E196" s="8" t="s">
        <v>115</v>
      </c>
      <c r="F196" s="97">
        <v>9</v>
      </c>
      <c r="G196" s="97"/>
      <c r="H196" s="101"/>
    </row>
    <row r="197" spans="2:8" x14ac:dyDescent="0.2">
      <c r="B197" s="66" t="s">
        <v>248</v>
      </c>
      <c r="C197" s="9" t="s">
        <v>195</v>
      </c>
      <c r="D197" s="97" t="str">
        <f t="shared" si="5"/>
        <v>II.M.3.a.</v>
      </c>
      <c r="E197" s="8" t="s">
        <v>116</v>
      </c>
      <c r="F197" s="97">
        <v>6</v>
      </c>
      <c r="G197" s="97"/>
      <c r="H197" s="101"/>
    </row>
    <row r="198" spans="2:8" x14ac:dyDescent="0.2">
      <c r="B198" s="66" t="s">
        <v>249</v>
      </c>
      <c r="C198" s="9" t="s">
        <v>195</v>
      </c>
      <c r="D198" s="97" t="str">
        <f t="shared" si="5"/>
        <v>II.M.4.a.</v>
      </c>
      <c r="E198" s="8" t="s">
        <v>117</v>
      </c>
      <c r="F198" s="97">
        <v>3</v>
      </c>
      <c r="G198" s="97"/>
      <c r="H198" s="101"/>
    </row>
    <row r="199" spans="2:8" x14ac:dyDescent="0.2">
      <c r="B199" s="66" t="s">
        <v>250</v>
      </c>
      <c r="C199" s="9" t="s">
        <v>195</v>
      </c>
      <c r="D199" s="97" t="str">
        <f t="shared" si="5"/>
        <v>II.M.5.a.</v>
      </c>
      <c r="E199" s="8" t="s">
        <v>118</v>
      </c>
      <c r="F199" s="97">
        <v>2</v>
      </c>
      <c r="G199" s="97"/>
      <c r="H199" s="101"/>
    </row>
    <row r="200" spans="2:8" x14ac:dyDescent="0.2">
      <c r="B200" s="66" t="s">
        <v>251</v>
      </c>
      <c r="C200" s="9" t="s">
        <v>195</v>
      </c>
      <c r="D200" s="97" t="str">
        <f t="shared" si="5"/>
        <v>II.M.6.a.</v>
      </c>
      <c r="E200" s="8" t="s">
        <v>119</v>
      </c>
      <c r="F200" s="97">
        <v>1</v>
      </c>
      <c r="G200" s="97"/>
      <c r="H200" s="101"/>
    </row>
    <row r="201" spans="2:8" x14ac:dyDescent="0.2">
      <c r="B201" s="66" t="s">
        <v>252</v>
      </c>
      <c r="C201" s="9" t="s">
        <v>195</v>
      </c>
      <c r="D201" s="97" t="str">
        <f t="shared" si="5"/>
        <v>II.M.7.a.</v>
      </c>
      <c r="E201" s="8" t="s">
        <v>120</v>
      </c>
      <c r="F201" s="97">
        <v>0.5</v>
      </c>
      <c r="G201" s="97"/>
      <c r="H201" s="101"/>
    </row>
    <row r="202" spans="2:8" x14ac:dyDescent="0.2">
      <c r="B202" s="66" t="s">
        <v>253</v>
      </c>
      <c r="C202" s="9" t="s">
        <v>195</v>
      </c>
      <c r="D202" s="97" t="str">
        <f t="shared" si="5"/>
        <v>III.A.1.a.</v>
      </c>
      <c r="E202" s="8" t="s">
        <v>254</v>
      </c>
      <c r="F202" s="97">
        <v>40</v>
      </c>
      <c r="G202" s="97"/>
      <c r="H202" s="101"/>
    </row>
    <row r="203" spans="2:8" x14ac:dyDescent="0.2">
      <c r="B203" s="66" t="s">
        <v>253</v>
      </c>
      <c r="C203" s="9" t="s">
        <v>198</v>
      </c>
      <c r="D203" s="97" t="str">
        <f t="shared" si="5"/>
        <v>III.A.1.b.</v>
      </c>
      <c r="E203" s="8" t="s">
        <v>255</v>
      </c>
      <c r="F203" s="97">
        <v>20</v>
      </c>
      <c r="G203" s="97"/>
      <c r="H203" s="101"/>
    </row>
    <row r="204" spans="2:8" x14ac:dyDescent="0.2">
      <c r="B204" s="66" t="s">
        <v>256</v>
      </c>
      <c r="C204" s="9" t="s">
        <v>195</v>
      </c>
      <c r="D204" s="97" t="str">
        <f t="shared" si="5"/>
        <v>III.A.2.a.</v>
      </c>
      <c r="E204" s="8" t="s">
        <v>257</v>
      </c>
      <c r="F204" s="97">
        <v>15</v>
      </c>
      <c r="G204" s="97"/>
      <c r="H204" s="101"/>
    </row>
    <row r="205" spans="2:8" x14ac:dyDescent="0.2">
      <c r="B205" s="66" t="s">
        <v>256</v>
      </c>
      <c r="C205" s="9" t="s">
        <v>198</v>
      </c>
      <c r="D205" s="97" t="str">
        <f t="shared" si="5"/>
        <v>III.A.2.b.</v>
      </c>
      <c r="E205" s="8" t="s">
        <v>136</v>
      </c>
      <c r="F205" s="97">
        <v>10</v>
      </c>
      <c r="G205" s="97"/>
      <c r="H205" s="101"/>
    </row>
    <row r="206" spans="2:8" x14ac:dyDescent="0.2">
      <c r="B206" s="66" t="s">
        <v>258</v>
      </c>
      <c r="C206" s="9" t="s">
        <v>195</v>
      </c>
      <c r="D206" s="97" t="str">
        <f t="shared" si="5"/>
        <v>III.A.3.a.</v>
      </c>
      <c r="E206" s="8" t="s">
        <v>259</v>
      </c>
      <c r="F206" s="97">
        <v>40</v>
      </c>
      <c r="G206" s="97"/>
      <c r="H206" s="101"/>
    </row>
    <row r="207" spans="2:8" x14ac:dyDescent="0.2">
      <c r="B207" s="66" t="s">
        <v>258</v>
      </c>
      <c r="C207" s="9" t="s">
        <v>198</v>
      </c>
      <c r="D207" s="97" t="str">
        <f t="shared" si="5"/>
        <v>III.A.3.b.</v>
      </c>
      <c r="E207" s="8" t="s">
        <v>260</v>
      </c>
      <c r="F207" s="97">
        <v>30</v>
      </c>
      <c r="G207" s="97"/>
      <c r="H207" s="101"/>
    </row>
    <row r="208" spans="2:8" x14ac:dyDescent="0.2">
      <c r="B208" s="66" t="s">
        <v>258</v>
      </c>
      <c r="C208" s="9" t="s">
        <v>204</v>
      </c>
      <c r="D208" s="97" t="str">
        <f t="shared" si="5"/>
        <v>III.A.3.c.</v>
      </c>
      <c r="E208" s="8" t="s">
        <v>261</v>
      </c>
      <c r="F208" s="97">
        <v>20</v>
      </c>
      <c r="G208" s="97"/>
      <c r="H208" s="101"/>
    </row>
    <row r="209" spans="2:8" x14ac:dyDescent="0.2">
      <c r="B209" s="66" t="s">
        <v>258</v>
      </c>
      <c r="C209" s="9" t="s">
        <v>206</v>
      </c>
      <c r="D209" s="97" t="str">
        <f t="shared" si="5"/>
        <v>III.A.3.d.</v>
      </c>
      <c r="E209" s="8" t="s">
        <v>262</v>
      </c>
      <c r="F209" s="97">
        <v>25</v>
      </c>
      <c r="G209" s="97"/>
      <c r="H209" s="101"/>
    </row>
    <row r="210" spans="2:8" x14ac:dyDescent="0.2">
      <c r="B210" s="66" t="s">
        <v>258</v>
      </c>
      <c r="C210" s="9" t="s">
        <v>263</v>
      </c>
      <c r="D210" s="97" t="str">
        <f t="shared" si="5"/>
        <v>III.A.3.e1.</v>
      </c>
      <c r="E210" s="8" t="s">
        <v>264</v>
      </c>
      <c r="F210" s="97">
        <v>15</v>
      </c>
      <c r="G210" s="97"/>
      <c r="H210" s="101"/>
    </row>
    <row r="211" spans="2:8" x14ac:dyDescent="0.2">
      <c r="B211" s="66" t="s">
        <v>258</v>
      </c>
      <c r="C211" s="9" t="s">
        <v>265</v>
      </c>
      <c r="D211" s="97" t="str">
        <f t="shared" si="5"/>
        <v>III.A.3.e2.</v>
      </c>
      <c r="E211" s="8" t="s">
        <v>266</v>
      </c>
      <c r="F211" s="97">
        <v>20</v>
      </c>
      <c r="G211" s="97"/>
      <c r="H211" s="101"/>
    </row>
    <row r="212" spans="2:8" x14ac:dyDescent="0.2">
      <c r="B212" s="66" t="s">
        <v>258</v>
      </c>
      <c r="C212" s="9" t="s">
        <v>267</v>
      </c>
      <c r="D212" s="97" t="str">
        <f t="shared" si="5"/>
        <v>III.A.3.f.</v>
      </c>
      <c r="E212" s="8" t="s">
        <v>268</v>
      </c>
      <c r="F212" s="97">
        <v>10</v>
      </c>
      <c r="G212" s="97"/>
      <c r="H212" s="101"/>
    </row>
    <row r="213" spans="2:8" x14ac:dyDescent="0.2">
      <c r="B213" s="66" t="s">
        <v>258</v>
      </c>
      <c r="C213" s="9" t="s">
        <v>269</v>
      </c>
      <c r="D213" s="97" t="str">
        <f t="shared" si="5"/>
        <v>III.A.3.g.</v>
      </c>
      <c r="E213" s="8" t="s">
        <v>270</v>
      </c>
      <c r="F213" s="97">
        <v>10</v>
      </c>
      <c r="G213" s="97"/>
      <c r="H213" s="101"/>
    </row>
    <row r="214" spans="2:8" x14ac:dyDescent="0.2">
      <c r="B214" s="66" t="s">
        <v>271</v>
      </c>
      <c r="C214" s="9" t="s">
        <v>195</v>
      </c>
      <c r="D214" s="97" t="str">
        <f t="shared" si="5"/>
        <v>III.B.1.a.</v>
      </c>
      <c r="E214" s="8" t="s">
        <v>257</v>
      </c>
      <c r="F214" s="97">
        <v>15</v>
      </c>
      <c r="G214" s="97"/>
      <c r="H214" s="101"/>
    </row>
    <row r="215" spans="2:8" x14ac:dyDescent="0.2">
      <c r="B215" s="66" t="s">
        <v>271</v>
      </c>
      <c r="C215" s="9" t="s">
        <v>198</v>
      </c>
      <c r="D215" s="97" t="str">
        <f t="shared" si="5"/>
        <v>III.B.1.b.</v>
      </c>
      <c r="E215" s="8" t="s">
        <v>136</v>
      </c>
      <c r="F215" s="97">
        <v>10</v>
      </c>
      <c r="G215" s="97"/>
      <c r="H215" s="101"/>
    </row>
    <row r="216" spans="2:8" x14ac:dyDescent="0.2">
      <c r="B216" s="66" t="s">
        <v>272</v>
      </c>
      <c r="C216" s="9" t="s">
        <v>195</v>
      </c>
      <c r="D216" s="97" t="str">
        <f t="shared" si="5"/>
        <v>III.B.2.a.</v>
      </c>
      <c r="E216" s="8" t="s">
        <v>257</v>
      </c>
      <c r="F216" s="97">
        <v>10</v>
      </c>
      <c r="G216" s="97"/>
      <c r="H216" s="101"/>
    </row>
    <row r="217" spans="2:8" x14ac:dyDescent="0.2">
      <c r="B217" s="66" t="s">
        <v>272</v>
      </c>
      <c r="C217" s="9" t="s">
        <v>198</v>
      </c>
      <c r="D217" s="97" t="str">
        <f t="shared" si="5"/>
        <v>III.B.2.b.</v>
      </c>
      <c r="E217" s="8" t="s">
        <v>136</v>
      </c>
      <c r="F217" s="97">
        <v>5</v>
      </c>
      <c r="G217" s="97"/>
      <c r="H217" s="101"/>
    </row>
    <row r="218" spans="2:8" x14ac:dyDescent="0.2">
      <c r="B218" s="66" t="s">
        <v>273</v>
      </c>
      <c r="C218" s="9" t="s">
        <v>195</v>
      </c>
      <c r="D218" s="97" t="str">
        <f t="shared" si="5"/>
        <v>III.B.3.a.</v>
      </c>
      <c r="E218" s="8" t="s">
        <v>257</v>
      </c>
      <c r="F218" s="97">
        <v>5</v>
      </c>
      <c r="G218" s="97"/>
      <c r="H218" s="101"/>
    </row>
    <row r="219" spans="2:8" x14ac:dyDescent="0.2">
      <c r="B219" s="66" t="s">
        <v>273</v>
      </c>
      <c r="C219" s="9" t="s">
        <v>198</v>
      </c>
      <c r="D219" s="97" t="str">
        <f t="shared" si="5"/>
        <v>III.B.3.b.</v>
      </c>
      <c r="E219" s="8" t="s">
        <v>136</v>
      </c>
      <c r="F219" s="97">
        <v>3</v>
      </c>
      <c r="G219" s="97"/>
      <c r="H219" s="101"/>
    </row>
    <row r="220" spans="2:8" x14ac:dyDescent="0.2">
      <c r="B220" s="66" t="s">
        <v>274</v>
      </c>
      <c r="C220" s="9" t="s">
        <v>195</v>
      </c>
      <c r="D220" s="97" t="str">
        <f t="shared" si="5"/>
        <v>III.B.4.a.</v>
      </c>
      <c r="E220" s="8" t="s">
        <v>257</v>
      </c>
      <c r="F220" s="97">
        <v>10</v>
      </c>
      <c r="G220" s="97"/>
      <c r="H220" s="101"/>
    </row>
    <row r="221" spans="2:8" x14ac:dyDescent="0.2">
      <c r="B221" s="66" t="s">
        <v>274</v>
      </c>
      <c r="C221" s="9" t="s">
        <v>198</v>
      </c>
      <c r="D221" s="97" t="str">
        <f t="shared" ref="D221:D252" si="6">CONCATENATE(B221,C221)</f>
        <v>III.B.4.b.</v>
      </c>
      <c r="E221" s="8" t="s">
        <v>136</v>
      </c>
      <c r="F221" s="97">
        <v>5</v>
      </c>
      <c r="G221" s="97"/>
      <c r="H221" s="101"/>
    </row>
    <row r="222" spans="2:8" x14ac:dyDescent="0.2">
      <c r="B222" s="66" t="s">
        <v>275</v>
      </c>
      <c r="C222" s="9" t="s">
        <v>195</v>
      </c>
      <c r="D222" s="97" t="str">
        <f t="shared" si="6"/>
        <v>III.B.5.a.</v>
      </c>
      <c r="E222" s="4" t="s">
        <v>130</v>
      </c>
      <c r="F222" s="97">
        <v>1</v>
      </c>
      <c r="G222" s="97"/>
      <c r="H222" s="101"/>
    </row>
    <row r="223" spans="2:8" x14ac:dyDescent="0.2">
      <c r="B223" s="66" t="s">
        <v>276</v>
      </c>
      <c r="C223" s="9" t="s">
        <v>195</v>
      </c>
      <c r="D223" s="97" t="str">
        <f t="shared" si="6"/>
        <v>III.C.0.a.</v>
      </c>
      <c r="E223" s="4" t="s">
        <v>49</v>
      </c>
      <c r="F223" s="97">
        <v>2</v>
      </c>
      <c r="G223" s="97"/>
      <c r="H223" s="101"/>
    </row>
    <row r="224" spans="2:8" x14ac:dyDescent="0.2">
      <c r="B224" s="66" t="s">
        <v>277</v>
      </c>
      <c r="C224" s="9" t="s">
        <v>195</v>
      </c>
      <c r="D224" s="97" t="str">
        <f t="shared" si="6"/>
        <v>III.D.0.a.</v>
      </c>
      <c r="E224" s="4" t="s">
        <v>50</v>
      </c>
      <c r="F224" s="97">
        <v>15</v>
      </c>
      <c r="G224" s="97"/>
      <c r="H224" s="101"/>
    </row>
    <row r="225" spans="2:8" x14ac:dyDescent="0.2">
      <c r="B225" s="66" t="s">
        <v>278</v>
      </c>
      <c r="C225" s="9" t="s">
        <v>195</v>
      </c>
      <c r="D225" s="97" t="str">
        <f t="shared" si="6"/>
        <v>III.E.0.a.</v>
      </c>
      <c r="E225" s="4" t="s">
        <v>51</v>
      </c>
      <c r="F225" s="97">
        <v>10</v>
      </c>
      <c r="G225" s="97"/>
      <c r="H225" s="101"/>
    </row>
    <row r="226" spans="2:8" x14ac:dyDescent="0.2">
      <c r="B226" s="66" t="s">
        <v>279</v>
      </c>
      <c r="C226" s="9" t="s">
        <v>195</v>
      </c>
      <c r="D226" s="97" t="str">
        <f t="shared" si="6"/>
        <v>III.F.1.a.</v>
      </c>
      <c r="E226" s="4" t="s">
        <v>135</v>
      </c>
      <c r="F226" s="97">
        <v>60</v>
      </c>
      <c r="G226" s="97"/>
      <c r="H226" s="101"/>
    </row>
    <row r="227" spans="2:8" x14ac:dyDescent="0.2">
      <c r="B227" s="66" t="s">
        <v>280</v>
      </c>
      <c r="C227" s="9" t="s">
        <v>195</v>
      </c>
      <c r="D227" s="97" t="str">
        <f t="shared" si="6"/>
        <v>III.F.2.a.</v>
      </c>
      <c r="E227" s="4" t="s">
        <v>136</v>
      </c>
      <c r="F227" s="97">
        <v>40</v>
      </c>
      <c r="G227" s="97"/>
      <c r="H227" s="101"/>
    </row>
    <row r="228" spans="2:8" x14ac:dyDescent="0.2">
      <c r="B228" s="66" t="s">
        <v>281</v>
      </c>
      <c r="C228" s="9" t="s">
        <v>195</v>
      </c>
      <c r="D228" s="97" t="str">
        <f t="shared" si="6"/>
        <v>III.G.1.a.</v>
      </c>
      <c r="E228" s="4" t="s">
        <v>138</v>
      </c>
      <c r="F228" s="97">
        <v>20</v>
      </c>
      <c r="G228" s="97"/>
      <c r="H228" s="101"/>
    </row>
    <row r="229" spans="2:8" x14ac:dyDescent="0.2">
      <c r="B229" s="66" t="s">
        <v>282</v>
      </c>
      <c r="C229" s="9" t="s">
        <v>195</v>
      </c>
      <c r="D229" s="97" t="str">
        <f t="shared" si="6"/>
        <v>III.G.2.a.</v>
      </c>
      <c r="E229" s="4" t="s">
        <v>139</v>
      </c>
      <c r="F229" s="97">
        <v>15</v>
      </c>
      <c r="G229" s="97"/>
      <c r="H229" s="101"/>
    </row>
    <row r="230" spans="2:8" x14ac:dyDescent="0.2">
      <c r="B230" s="66" t="s">
        <v>283</v>
      </c>
      <c r="C230" s="9" t="s">
        <v>195</v>
      </c>
      <c r="D230" s="97" t="str">
        <f t="shared" si="6"/>
        <v>III.G.3.a.</v>
      </c>
      <c r="E230" s="4" t="s">
        <v>140</v>
      </c>
      <c r="F230" s="97">
        <v>10</v>
      </c>
      <c r="G230" s="97"/>
      <c r="H230" s="101"/>
    </row>
    <row r="231" spans="2:8" x14ac:dyDescent="0.2">
      <c r="B231" s="66" t="s">
        <v>284</v>
      </c>
      <c r="C231" s="9" t="s">
        <v>195</v>
      </c>
      <c r="D231" s="97" t="str">
        <f t="shared" si="6"/>
        <v>III.H.1.a.</v>
      </c>
      <c r="E231" s="4" t="s">
        <v>257</v>
      </c>
      <c r="F231" s="97">
        <v>20</v>
      </c>
      <c r="G231" s="97"/>
      <c r="H231" s="101"/>
    </row>
    <row r="232" spans="2:8" x14ac:dyDescent="0.2">
      <c r="B232" s="66" t="s">
        <v>284</v>
      </c>
      <c r="C232" s="9" t="s">
        <v>198</v>
      </c>
      <c r="D232" s="97" t="str">
        <f t="shared" si="6"/>
        <v>III.H.1.b.</v>
      </c>
      <c r="E232" s="4" t="s">
        <v>136</v>
      </c>
      <c r="F232" s="97">
        <v>15</v>
      </c>
      <c r="G232" s="97"/>
      <c r="H232" s="101"/>
    </row>
    <row r="233" spans="2:8" x14ac:dyDescent="0.2">
      <c r="B233" s="66" t="s">
        <v>284</v>
      </c>
      <c r="C233" s="9" t="s">
        <v>204</v>
      </c>
      <c r="D233" s="97" t="str">
        <f t="shared" si="6"/>
        <v>III.H.1.c.</v>
      </c>
      <c r="E233" s="4" t="s">
        <v>285</v>
      </c>
      <c r="F233" s="97">
        <v>10</v>
      </c>
      <c r="G233" s="97"/>
      <c r="H233" s="101"/>
    </row>
    <row r="234" spans="2:8" x14ac:dyDescent="0.2">
      <c r="B234" s="66" t="s">
        <v>286</v>
      </c>
      <c r="C234" s="9" t="s">
        <v>195</v>
      </c>
      <c r="D234" s="97" t="str">
        <f t="shared" si="6"/>
        <v>III.H.2.a.</v>
      </c>
      <c r="E234" s="4" t="s">
        <v>257</v>
      </c>
      <c r="F234" s="97">
        <v>10</v>
      </c>
      <c r="G234" s="97"/>
      <c r="H234" s="101"/>
    </row>
    <row r="235" spans="2:8" x14ac:dyDescent="0.2">
      <c r="B235" s="66" t="s">
        <v>286</v>
      </c>
      <c r="C235" s="9" t="s">
        <v>198</v>
      </c>
      <c r="D235" s="97" t="str">
        <f t="shared" si="6"/>
        <v>III.H.2.b.</v>
      </c>
      <c r="E235" s="4" t="s">
        <v>136</v>
      </c>
      <c r="F235" s="97">
        <v>6</v>
      </c>
      <c r="G235" s="97"/>
      <c r="H235" s="101"/>
    </row>
    <row r="236" spans="2:8" x14ac:dyDescent="0.2">
      <c r="B236" s="66" t="s">
        <v>286</v>
      </c>
      <c r="C236" s="9" t="s">
        <v>204</v>
      </c>
      <c r="D236" s="97" t="str">
        <f t="shared" si="6"/>
        <v>III.H.2.c.</v>
      </c>
      <c r="E236" s="4" t="s">
        <v>285</v>
      </c>
      <c r="F236" s="97">
        <v>3</v>
      </c>
      <c r="G236" s="97"/>
      <c r="H236" s="101"/>
    </row>
    <row r="237" spans="2:8" x14ac:dyDescent="0.2">
      <c r="B237" s="66" t="s">
        <v>287</v>
      </c>
      <c r="C237" s="9" t="s">
        <v>195</v>
      </c>
      <c r="D237" s="97" t="str">
        <f t="shared" si="6"/>
        <v>III.H.3.a.</v>
      </c>
      <c r="E237" s="4" t="s">
        <v>257</v>
      </c>
      <c r="F237" s="97">
        <v>6</v>
      </c>
      <c r="G237" s="97"/>
      <c r="H237" s="101"/>
    </row>
    <row r="238" spans="2:8" x14ac:dyDescent="0.2">
      <c r="B238" s="66" t="s">
        <v>287</v>
      </c>
      <c r="C238" s="9" t="s">
        <v>198</v>
      </c>
      <c r="D238" s="97" t="str">
        <f t="shared" si="6"/>
        <v>III.H.3.b.</v>
      </c>
      <c r="E238" s="4" t="s">
        <v>136</v>
      </c>
      <c r="F238" s="97">
        <v>4</v>
      </c>
      <c r="G238" s="97"/>
      <c r="H238" s="101"/>
    </row>
    <row r="239" spans="2:8" x14ac:dyDescent="0.2">
      <c r="B239" s="66" t="s">
        <v>287</v>
      </c>
      <c r="C239" s="9" t="s">
        <v>204</v>
      </c>
      <c r="D239" s="97" t="str">
        <f t="shared" si="6"/>
        <v>III.H.3.c.</v>
      </c>
      <c r="E239" s="4" t="s">
        <v>285</v>
      </c>
      <c r="F239" s="97">
        <v>2</v>
      </c>
      <c r="G239" s="97"/>
      <c r="H239" s="101"/>
    </row>
    <row r="240" spans="2:8" x14ac:dyDescent="0.2">
      <c r="B240" s="66" t="s">
        <v>288</v>
      </c>
      <c r="C240" s="9" t="s">
        <v>195</v>
      </c>
      <c r="D240" s="97" t="str">
        <f t="shared" si="6"/>
        <v>III.I.1.a.</v>
      </c>
      <c r="E240" s="4" t="s">
        <v>257</v>
      </c>
      <c r="F240" s="97">
        <v>20</v>
      </c>
      <c r="G240" s="97"/>
      <c r="H240" s="101"/>
    </row>
    <row r="241" spans="2:8" x14ac:dyDescent="0.2">
      <c r="B241" s="66" t="s">
        <v>288</v>
      </c>
      <c r="C241" s="9" t="s">
        <v>198</v>
      </c>
      <c r="D241" s="97" t="str">
        <f t="shared" si="6"/>
        <v>III.I.1.b.</v>
      </c>
      <c r="E241" s="4" t="s">
        <v>136</v>
      </c>
      <c r="F241" s="97">
        <v>15</v>
      </c>
      <c r="G241" s="97"/>
      <c r="H241" s="101"/>
    </row>
    <row r="242" spans="2:8" x14ac:dyDescent="0.2">
      <c r="B242" s="66" t="s">
        <v>288</v>
      </c>
      <c r="C242" s="9" t="s">
        <v>204</v>
      </c>
      <c r="D242" s="97" t="str">
        <f t="shared" si="6"/>
        <v>III.I.1.c.</v>
      </c>
      <c r="E242" s="4" t="s">
        <v>285</v>
      </c>
      <c r="F242" s="97">
        <v>10</v>
      </c>
      <c r="G242" s="97"/>
      <c r="H242" s="101"/>
    </row>
    <row r="243" spans="2:8" x14ac:dyDescent="0.2">
      <c r="B243" s="66" t="s">
        <v>289</v>
      </c>
      <c r="C243" s="9" t="s">
        <v>195</v>
      </c>
      <c r="D243" s="97" t="str">
        <f t="shared" si="6"/>
        <v>III.I.2.a.</v>
      </c>
      <c r="E243" s="4" t="s">
        <v>257</v>
      </c>
      <c r="F243" s="97">
        <v>20</v>
      </c>
      <c r="G243" s="97"/>
      <c r="H243" s="101"/>
    </row>
    <row r="244" spans="2:8" x14ac:dyDescent="0.2">
      <c r="B244" s="66" t="s">
        <v>289</v>
      </c>
      <c r="C244" s="9" t="s">
        <v>198</v>
      </c>
      <c r="D244" s="97" t="str">
        <f t="shared" si="6"/>
        <v>III.I.2.b.</v>
      </c>
      <c r="E244" s="4" t="s">
        <v>136</v>
      </c>
      <c r="F244" s="97">
        <v>15</v>
      </c>
      <c r="G244" s="97"/>
      <c r="H244" s="101"/>
    </row>
    <row r="245" spans="2:8" x14ac:dyDescent="0.2">
      <c r="B245" s="66" t="s">
        <v>289</v>
      </c>
      <c r="C245" s="9" t="s">
        <v>204</v>
      </c>
      <c r="D245" s="97" t="str">
        <f t="shared" si="6"/>
        <v>III.I.2.c.</v>
      </c>
      <c r="E245" s="4" t="s">
        <v>285</v>
      </c>
      <c r="F245" s="97">
        <v>10</v>
      </c>
      <c r="G245" s="97"/>
      <c r="H245" s="101"/>
    </row>
    <row r="246" spans="2:8" x14ac:dyDescent="0.2">
      <c r="B246" s="66" t="s">
        <v>290</v>
      </c>
      <c r="C246" s="9" t="s">
        <v>195</v>
      </c>
      <c r="D246" s="97" t="str">
        <f t="shared" si="6"/>
        <v>III.I.3.a.</v>
      </c>
      <c r="E246" s="4" t="s">
        <v>257</v>
      </c>
      <c r="F246" s="97">
        <v>20</v>
      </c>
      <c r="G246" s="97"/>
      <c r="H246" s="101"/>
    </row>
    <row r="247" spans="2:8" x14ac:dyDescent="0.2">
      <c r="B247" s="66" t="s">
        <v>290</v>
      </c>
      <c r="C247" s="9" t="s">
        <v>198</v>
      </c>
      <c r="D247" s="97" t="str">
        <f t="shared" si="6"/>
        <v>III.I.3.b.</v>
      </c>
      <c r="E247" s="4" t="s">
        <v>136</v>
      </c>
      <c r="F247" s="97">
        <v>15</v>
      </c>
      <c r="G247" s="97"/>
      <c r="H247" s="101"/>
    </row>
    <row r="248" spans="2:8" x14ac:dyDescent="0.2">
      <c r="B248" s="66" t="s">
        <v>290</v>
      </c>
      <c r="C248" s="9" t="s">
        <v>204</v>
      </c>
      <c r="D248" s="97" t="str">
        <f t="shared" si="6"/>
        <v>III.I.3.c.</v>
      </c>
      <c r="E248" s="4" t="s">
        <v>285</v>
      </c>
      <c r="F248" s="97">
        <v>10</v>
      </c>
      <c r="G248" s="97"/>
      <c r="H248" s="101"/>
    </row>
    <row r="249" spans="2:8" x14ac:dyDescent="0.2">
      <c r="B249" s="66" t="s">
        <v>291</v>
      </c>
      <c r="C249" s="9" t="s">
        <v>195</v>
      </c>
      <c r="D249" s="97" t="str">
        <f t="shared" si="6"/>
        <v>IV.A.0.a.</v>
      </c>
      <c r="E249" s="4" t="s">
        <v>56</v>
      </c>
      <c r="F249" s="97">
        <v>5.5</v>
      </c>
      <c r="G249" s="97"/>
      <c r="H249" s="101"/>
    </row>
    <row r="250" spans="2:8" x14ac:dyDescent="0.2">
      <c r="B250" s="66" t="s">
        <v>292</v>
      </c>
      <c r="C250" s="9" t="s">
        <v>195</v>
      </c>
      <c r="D250" s="97" t="str">
        <f t="shared" si="6"/>
        <v>IV.B.0.a.</v>
      </c>
      <c r="E250" s="4" t="s">
        <v>57</v>
      </c>
      <c r="F250" s="97">
        <v>3</v>
      </c>
      <c r="G250" s="97"/>
      <c r="H250" s="101"/>
    </row>
    <row r="251" spans="2:8" x14ac:dyDescent="0.2">
      <c r="B251" s="66" t="s">
        <v>293</v>
      </c>
      <c r="C251" s="9" t="s">
        <v>195</v>
      </c>
      <c r="D251" s="97" t="str">
        <f t="shared" si="6"/>
        <v>IV.C.1.a.</v>
      </c>
      <c r="E251" s="4" t="s">
        <v>294</v>
      </c>
      <c r="F251" s="97">
        <v>4</v>
      </c>
      <c r="G251" s="97"/>
      <c r="H251" s="101"/>
    </row>
    <row r="252" spans="2:8" x14ac:dyDescent="0.2">
      <c r="B252" s="66" t="s">
        <v>293</v>
      </c>
      <c r="C252" s="9" t="s">
        <v>198</v>
      </c>
      <c r="D252" s="97" t="str">
        <f t="shared" si="6"/>
        <v>IV.C.1.b.</v>
      </c>
      <c r="E252" s="4" t="s">
        <v>295</v>
      </c>
      <c r="F252" s="97">
        <v>3</v>
      </c>
      <c r="G252" s="97"/>
      <c r="H252" s="101"/>
    </row>
    <row r="253" spans="2:8" x14ac:dyDescent="0.2">
      <c r="B253" s="66" t="s">
        <v>293</v>
      </c>
      <c r="C253" s="9" t="s">
        <v>204</v>
      </c>
      <c r="D253" s="97" t="str">
        <f t="shared" ref="D253:D284" si="7">CONCATENATE(B253,C253)</f>
        <v>IV.C.1.c.</v>
      </c>
      <c r="E253" s="4" t="s">
        <v>296</v>
      </c>
      <c r="F253" s="97">
        <v>2</v>
      </c>
      <c r="G253" s="97"/>
      <c r="H253" s="101"/>
    </row>
    <row r="254" spans="2:8" x14ac:dyDescent="0.2">
      <c r="B254" s="66" t="s">
        <v>297</v>
      </c>
      <c r="C254" s="9" t="s">
        <v>195</v>
      </c>
      <c r="D254" s="97" t="str">
        <f t="shared" si="7"/>
        <v>IV.C.2.a.</v>
      </c>
      <c r="E254" s="4" t="s">
        <v>294</v>
      </c>
      <c r="F254" s="97">
        <v>3</v>
      </c>
      <c r="G254" s="97"/>
      <c r="H254" s="101"/>
    </row>
    <row r="255" spans="2:8" x14ac:dyDescent="0.2">
      <c r="B255" s="66" t="s">
        <v>297</v>
      </c>
      <c r="C255" s="9" t="s">
        <v>198</v>
      </c>
      <c r="D255" s="97" t="str">
        <f t="shared" si="7"/>
        <v>IV.C.2.b.</v>
      </c>
      <c r="E255" s="4" t="s">
        <v>295</v>
      </c>
      <c r="F255" s="97">
        <v>2</v>
      </c>
      <c r="G255" s="97"/>
      <c r="H255" s="101"/>
    </row>
    <row r="256" spans="2:8" x14ac:dyDescent="0.2">
      <c r="B256" s="66" t="s">
        <v>297</v>
      </c>
      <c r="C256" s="9" t="s">
        <v>204</v>
      </c>
      <c r="D256" s="97" t="str">
        <f t="shared" si="7"/>
        <v>IV.C.2.c.</v>
      </c>
      <c r="E256" s="4" t="s">
        <v>296</v>
      </c>
      <c r="F256" s="97">
        <v>1</v>
      </c>
      <c r="G256" s="97"/>
      <c r="H256" s="101"/>
    </row>
    <row r="257" spans="2:8" x14ac:dyDescent="0.2">
      <c r="B257" s="66" t="s">
        <v>297</v>
      </c>
      <c r="C257" s="9" t="s">
        <v>206</v>
      </c>
      <c r="D257" s="97" t="str">
        <f t="shared" si="7"/>
        <v>IV.C.2.d.</v>
      </c>
      <c r="E257" s="4" t="s">
        <v>298</v>
      </c>
      <c r="F257" s="97">
        <v>1</v>
      </c>
      <c r="G257" s="97"/>
      <c r="H257" s="101"/>
    </row>
    <row r="258" spans="2:8" x14ac:dyDescent="0.2">
      <c r="B258" s="66" t="s">
        <v>299</v>
      </c>
      <c r="C258" s="9" t="s">
        <v>195</v>
      </c>
      <c r="D258" s="97" t="str">
        <f t="shared" si="7"/>
        <v>IV.D.1.a.</v>
      </c>
      <c r="E258" s="4" t="s">
        <v>155</v>
      </c>
      <c r="F258" s="97">
        <v>1.5</v>
      </c>
      <c r="G258" s="97"/>
      <c r="H258" s="101"/>
    </row>
    <row r="259" spans="2:8" x14ac:dyDescent="0.2">
      <c r="B259" s="66" t="s">
        <v>300</v>
      </c>
      <c r="C259" s="9" t="s">
        <v>195</v>
      </c>
      <c r="D259" s="97" t="str">
        <f t="shared" si="7"/>
        <v>IV.D.2.a.</v>
      </c>
      <c r="E259" s="4" t="s">
        <v>156</v>
      </c>
      <c r="F259" s="97">
        <v>1</v>
      </c>
      <c r="G259" s="97"/>
      <c r="H259" s="101"/>
    </row>
    <row r="260" spans="2:8" x14ac:dyDescent="0.2">
      <c r="B260" s="66" t="s">
        <v>301</v>
      </c>
      <c r="C260" s="9" t="s">
        <v>195</v>
      </c>
      <c r="D260" s="97" t="str">
        <f t="shared" si="7"/>
        <v>IV.D.3.a.</v>
      </c>
      <c r="E260" s="4" t="s">
        <v>157</v>
      </c>
      <c r="F260" s="97">
        <v>0.5</v>
      </c>
      <c r="G260" s="97"/>
      <c r="H260" s="101"/>
    </row>
    <row r="261" spans="2:8" x14ac:dyDescent="0.2">
      <c r="B261" s="66" t="s">
        <v>302</v>
      </c>
      <c r="C261" s="9" t="s">
        <v>195</v>
      </c>
      <c r="D261" s="97" t="str">
        <f t="shared" si="7"/>
        <v>IV.E.0.a.</v>
      </c>
      <c r="E261" s="4" t="s">
        <v>60</v>
      </c>
      <c r="F261" s="97">
        <v>3</v>
      </c>
      <c r="G261" s="97"/>
      <c r="H261" s="101"/>
    </row>
    <row r="262" spans="2:8" x14ac:dyDescent="0.2">
      <c r="B262" s="66" t="s">
        <v>797</v>
      </c>
      <c r="C262" s="9" t="s">
        <v>195</v>
      </c>
      <c r="D262" s="308" t="str">
        <f t="shared" si="7"/>
        <v>IV.F.0.a.</v>
      </c>
      <c r="E262" s="312" t="s">
        <v>796</v>
      </c>
      <c r="F262" s="308">
        <v>5</v>
      </c>
      <c r="G262" s="308"/>
      <c r="H262" s="332"/>
    </row>
    <row r="263" spans="2:8" x14ac:dyDescent="0.2">
      <c r="B263" s="310" t="s">
        <v>754</v>
      </c>
      <c r="C263" s="9" t="s">
        <v>195</v>
      </c>
      <c r="D263" s="97" t="str">
        <f t="shared" si="7"/>
        <v>IV.G.1.a.</v>
      </c>
      <c r="E263" s="4" t="s">
        <v>173</v>
      </c>
      <c r="F263" s="97">
        <v>1</v>
      </c>
      <c r="G263" s="97"/>
      <c r="H263" s="101"/>
    </row>
    <row r="264" spans="2:8" x14ac:dyDescent="0.2">
      <c r="B264" s="310" t="s">
        <v>755</v>
      </c>
      <c r="C264" s="9" t="s">
        <v>195</v>
      </c>
      <c r="D264" s="97" t="str">
        <f t="shared" si="7"/>
        <v>IV.G.2.a.</v>
      </c>
      <c r="E264" s="4" t="s">
        <v>174</v>
      </c>
      <c r="F264" s="280">
        <v>0.5</v>
      </c>
      <c r="G264" s="97"/>
      <c r="H264" s="101"/>
    </row>
    <row r="265" spans="2:8" x14ac:dyDescent="0.2">
      <c r="B265" s="66" t="s">
        <v>303</v>
      </c>
      <c r="C265" s="9" t="s">
        <v>195</v>
      </c>
      <c r="D265" s="97" t="str">
        <f t="shared" si="7"/>
        <v>V.A.1.a.</v>
      </c>
      <c r="E265" s="4" t="s">
        <v>160</v>
      </c>
      <c r="F265" s="97">
        <v>3</v>
      </c>
      <c r="G265" s="97"/>
      <c r="H265" s="101"/>
    </row>
    <row r="266" spans="2:8" x14ac:dyDescent="0.2">
      <c r="B266" s="66" t="s">
        <v>304</v>
      </c>
      <c r="C266" s="9" t="s">
        <v>195</v>
      </c>
      <c r="D266" s="97" t="str">
        <f t="shared" si="7"/>
        <v>V.A.2.a.</v>
      </c>
      <c r="E266" s="4" t="s">
        <v>161</v>
      </c>
      <c r="F266" s="97">
        <v>2</v>
      </c>
      <c r="G266" s="97"/>
      <c r="H266" s="101"/>
    </row>
    <row r="267" spans="2:8" x14ac:dyDescent="0.2">
      <c r="B267" s="66" t="s">
        <v>305</v>
      </c>
      <c r="C267" s="9" t="s">
        <v>195</v>
      </c>
      <c r="D267" s="97" t="str">
        <f t="shared" si="7"/>
        <v>V.B.1.a.</v>
      </c>
      <c r="E267" s="4" t="s">
        <v>306</v>
      </c>
      <c r="F267" s="97">
        <v>3</v>
      </c>
      <c r="G267" s="97"/>
      <c r="H267" s="101"/>
    </row>
    <row r="268" spans="2:8" x14ac:dyDescent="0.2">
      <c r="B268" s="66" t="s">
        <v>305</v>
      </c>
      <c r="C268" s="9" t="s">
        <v>198</v>
      </c>
      <c r="D268" s="97" t="str">
        <f t="shared" si="7"/>
        <v>V.B.1.b.</v>
      </c>
      <c r="E268" s="4" t="s">
        <v>307</v>
      </c>
      <c r="F268" s="97">
        <v>2</v>
      </c>
      <c r="G268" s="97"/>
      <c r="H268" s="101"/>
    </row>
    <row r="269" spans="2:8" x14ac:dyDescent="0.2">
      <c r="B269" s="66" t="s">
        <v>308</v>
      </c>
      <c r="C269" s="9" t="s">
        <v>195</v>
      </c>
      <c r="D269" s="97" t="str">
        <f t="shared" si="7"/>
        <v>V.B.2.a.</v>
      </c>
      <c r="E269" s="4" t="s">
        <v>306</v>
      </c>
      <c r="F269" s="97">
        <v>2</v>
      </c>
      <c r="G269" s="97"/>
      <c r="H269" s="101"/>
    </row>
    <row r="270" spans="2:8" x14ac:dyDescent="0.2">
      <c r="B270" s="66" t="s">
        <v>308</v>
      </c>
      <c r="C270" s="9" t="s">
        <v>198</v>
      </c>
      <c r="D270" s="97" t="str">
        <f t="shared" si="7"/>
        <v>V.B.2.b.</v>
      </c>
      <c r="E270" s="4" t="s">
        <v>307</v>
      </c>
      <c r="F270" s="97">
        <v>1</v>
      </c>
      <c r="G270" s="97"/>
      <c r="H270" s="101"/>
    </row>
    <row r="271" spans="2:8" x14ac:dyDescent="0.2">
      <c r="B271" s="66" t="s">
        <v>309</v>
      </c>
      <c r="C271" s="9" t="s">
        <v>195</v>
      </c>
      <c r="D271" s="97" t="str">
        <f t="shared" si="7"/>
        <v>V.C.1.a.</v>
      </c>
      <c r="E271" s="4" t="s">
        <v>310</v>
      </c>
      <c r="F271" s="97">
        <v>2</v>
      </c>
      <c r="G271" s="97"/>
      <c r="H271" s="101"/>
    </row>
    <row r="272" spans="2:8" x14ac:dyDescent="0.2">
      <c r="B272" s="66" t="s">
        <v>309</v>
      </c>
      <c r="C272" s="9" t="s">
        <v>198</v>
      </c>
      <c r="D272" s="97" t="str">
        <f t="shared" si="7"/>
        <v>V.C.1.b.</v>
      </c>
      <c r="E272" s="4" t="s">
        <v>311</v>
      </c>
      <c r="F272" s="97">
        <v>1</v>
      </c>
      <c r="G272" s="97"/>
      <c r="H272" s="101"/>
    </row>
    <row r="273" spans="2:8" x14ac:dyDescent="0.2">
      <c r="B273" s="66" t="s">
        <v>309</v>
      </c>
      <c r="C273" s="9" t="s">
        <v>204</v>
      </c>
      <c r="D273" s="97" t="str">
        <f t="shared" si="7"/>
        <v>V.C.1.c.</v>
      </c>
      <c r="E273" s="4" t="s">
        <v>312</v>
      </c>
      <c r="F273" s="97">
        <v>0.5</v>
      </c>
      <c r="G273" s="97"/>
      <c r="H273" s="101"/>
    </row>
    <row r="274" spans="2:8" x14ac:dyDescent="0.2">
      <c r="B274" s="66" t="s">
        <v>313</v>
      </c>
      <c r="C274" s="9" t="s">
        <v>195</v>
      </c>
      <c r="D274" s="97" t="str">
        <f t="shared" si="7"/>
        <v>V.C.2.a.</v>
      </c>
      <c r="E274" s="4" t="s">
        <v>314</v>
      </c>
      <c r="F274" s="97">
        <v>1.5</v>
      </c>
      <c r="G274" s="97"/>
      <c r="H274" s="101"/>
    </row>
    <row r="275" spans="2:8" x14ac:dyDescent="0.2">
      <c r="B275" s="66" t="s">
        <v>313</v>
      </c>
      <c r="C275" s="9" t="s">
        <v>198</v>
      </c>
      <c r="D275" s="97" t="str">
        <f t="shared" si="7"/>
        <v>V.C.2.b.</v>
      </c>
      <c r="E275" s="4" t="s">
        <v>315</v>
      </c>
      <c r="F275" s="97">
        <v>1</v>
      </c>
      <c r="G275" s="97"/>
      <c r="H275" s="101"/>
    </row>
    <row r="276" spans="2:8" x14ac:dyDescent="0.2">
      <c r="B276" s="66" t="s">
        <v>313</v>
      </c>
      <c r="C276" s="9" t="s">
        <v>204</v>
      </c>
      <c r="D276" s="97" t="str">
        <f t="shared" si="7"/>
        <v>V.C.2.c.</v>
      </c>
      <c r="E276" s="4" t="s">
        <v>316</v>
      </c>
      <c r="F276" s="97">
        <v>0.5</v>
      </c>
      <c r="G276" s="97"/>
      <c r="H276" s="101"/>
    </row>
    <row r="277" spans="2:8" x14ac:dyDescent="0.2">
      <c r="B277" s="66" t="s">
        <v>317</v>
      </c>
      <c r="C277" s="9" t="s">
        <v>195</v>
      </c>
      <c r="D277" s="97" t="str">
        <f t="shared" si="7"/>
        <v>V.D.0.a.</v>
      </c>
      <c r="E277" s="4" t="s">
        <v>64</v>
      </c>
      <c r="F277" s="97">
        <v>1</v>
      </c>
      <c r="G277" s="97"/>
      <c r="H277" s="101"/>
    </row>
    <row r="278" spans="2:8" x14ac:dyDescent="0.2">
      <c r="B278" s="66" t="s">
        <v>318</v>
      </c>
      <c r="C278" s="9" t="s">
        <v>195</v>
      </c>
      <c r="D278" s="97" t="str">
        <f t="shared" si="7"/>
        <v>V.E.1.a.</v>
      </c>
      <c r="E278" s="4" t="s">
        <v>170</v>
      </c>
      <c r="F278" s="97">
        <v>3</v>
      </c>
      <c r="G278" s="97"/>
      <c r="H278" s="101"/>
    </row>
    <row r="279" spans="2:8" x14ac:dyDescent="0.2">
      <c r="B279" s="66" t="s">
        <v>319</v>
      </c>
      <c r="C279" s="9" t="s">
        <v>195</v>
      </c>
      <c r="D279" s="97" t="str">
        <f t="shared" si="7"/>
        <v>V.E.2.a.</v>
      </c>
      <c r="E279" s="4" t="s">
        <v>171</v>
      </c>
      <c r="F279" s="97">
        <v>2</v>
      </c>
      <c r="G279" s="97"/>
      <c r="H279" s="101"/>
    </row>
    <row r="280" spans="2:8" x14ac:dyDescent="0.2">
      <c r="B280" s="66" t="s">
        <v>320</v>
      </c>
      <c r="C280" s="9" t="s">
        <v>195</v>
      </c>
      <c r="D280" s="97" t="str">
        <f t="shared" si="7"/>
        <v>V.F.1.a.</v>
      </c>
      <c r="E280" s="4" t="s">
        <v>323</v>
      </c>
      <c r="F280" s="97">
        <v>3</v>
      </c>
      <c r="G280" s="97"/>
      <c r="H280" s="101"/>
    </row>
    <row r="281" spans="2:8" x14ac:dyDescent="0.2">
      <c r="B281" s="66" t="s">
        <v>320</v>
      </c>
      <c r="C281" s="9" t="s">
        <v>198</v>
      </c>
      <c r="D281" s="97" t="str">
        <f t="shared" si="7"/>
        <v>V.F.1.b.</v>
      </c>
      <c r="E281" s="4" t="s">
        <v>324</v>
      </c>
      <c r="F281" s="97">
        <v>2</v>
      </c>
      <c r="G281" s="97"/>
      <c r="H281" s="101"/>
    </row>
    <row r="282" spans="2:8" x14ac:dyDescent="0.2">
      <c r="B282" s="66" t="s">
        <v>321</v>
      </c>
      <c r="C282" s="9" t="s">
        <v>195</v>
      </c>
      <c r="D282" s="97" t="str">
        <f t="shared" si="7"/>
        <v>V.F.2.a.</v>
      </c>
      <c r="E282" s="4" t="s">
        <v>323</v>
      </c>
      <c r="F282" s="97">
        <v>2</v>
      </c>
      <c r="G282" s="97"/>
      <c r="H282" s="101"/>
    </row>
    <row r="283" spans="2:8" x14ac:dyDescent="0.2">
      <c r="B283" s="66" t="s">
        <v>321</v>
      </c>
      <c r="C283" s="9" t="s">
        <v>198</v>
      </c>
      <c r="D283" s="97" t="str">
        <f t="shared" si="7"/>
        <v>V.F.2.b.</v>
      </c>
      <c r="E283" s="4" t="s">
        <v>324</v>
      </c>
      <c r="F283" s="97">
        <v>1</v>
      </c>
      <c r="G283" s="97"/>
      <c r="H283" s="101"/>
    </row>
    <row r="284" spans="2:8" x14ac:dyDescent="0.2">
      <c r="B284" s="66" t="s">
        <v>322</v>
      </c>
      <c r="C284" s="9" t="s">
        <v>195</v>
      </c>
      <c r="D284" s="97" t="str">
        <f t="shared" si="7"/>
        <v>V.G.1.a.</v>
      </c>
      <c r="E284" s="4" t="s">
        <v>179</v>
      </c>
      <c r="F284" s="97">
        <v>3</v>
      </c>
      <c r="G284" s="97"/>
      <c r="H284" s="101"/>
    </row>
    <row r="285" spans="2:8" x14ac:dyDescent="0.2">
      <c r="B285" s="66" t="s">
        <v>325</v>
      </c>
      <c r="C285" s="9" t="s">
        <v>195</v>
      </c>
      <c r="D285" s="97" t="str">
        <f t="shared" ref="D285:D296" si="8">CONCATENATE(B285,C285)</f>
        <v>V.G.2.a.</v>
      </c>
      <c r="E285" s="4" t="s">
        <v>180</v>
      </c>
      <c r="F285" s="97">
        <v>2</v>
      </c>
      <c r="G285" s="97"/>
      <c r="H285" s="101"/>
    </row>
    <row r="286" spans="2:8" x14ac:dyDescent="0.2">
      <c r="B286" s="66" t="s">
        <v>749</v>
      </c>
      <c r="C286" s="9" t="s">
        <v>195</v>
      </c>
      <c r="D286" s="97" t="str">
        <f t="shared" si="8"/>
        <v>V.G.3.a.</v>
      </c>
      <c r="E286" s="4" t="s">
        <v>181</v>
      </c>
      <c r="F286" s="97">
        <v>1</v>
      </c>
      <c r="G286" s="97"/>
      <c r="H286" s="101"/>
    </row>
    <row r="287" spans="2:8" x14ac:dyDescent="0.2">
      <c r="B287" s="66" t="s">
        <v>750</v>
      </c>
      <c r="C287" s="9" t="s">
        <v>195</v>
      </c>
      <c r="D287" s="97" t="str">
        <f t="shared" si="8"/>
        <v>V.G.4.a.</v>
      </c>
      <c r="E287" s="4" t="s">
        <v>182</v>
      </c>
      <c r="F287" s="97">
        <v>5</v>
      </c>
      <c r="G287" s="97"/>
      <c r="H287" s="101"/>
    </row>
    <row r="288" spans="2:8" x14ac:dyDescent="0.2">
      <c r="B288" s="66" t="s">
        <v>751</v>
      </c>
      <c r="C288" s="9" t="s">
        <v>195</v>
      </c>
      <c r="D288" s="97" t="str">
        <f t="shared" si="8"/>
        <v>V.G.5.a.</v>
      </c>
      <c r="E288" s="4" t="s">
        <v>183</v>
      </c>
      <c r="F288" s="97">
        <v>3</v>
      </c>
      <c r="G288" s="97"/>
      <c r="H288" s="101"/>
    </row>
    <row r="289" spans="2:8" x14ac:dyDescent="0.2">
      <c r="B289" s="66" t="s">
        <v>752</v>
      </c>
      <c r="C289" s="9" t="s">
        <v>195</v>
      </c>
      <c r="D289" s="97" t="str">
        <f t="shared" si="8"/>
        <v>V.G.6.a.</v>
      </c>
      <c r="E289" s="4" t="s">
        <v>184</v>
      </c>
      <c r="F289" s="97">
        <v>1</v>
      </c>
      <c r="G289" s="97"/>
      <c r="H289" s="101"/>
    </row>
    <row r="290" spans="2:8" x14ac:dyDescent="0.2">
      <c r="B290" s="66" t="s">
        <v>326</v>
      </c>
      <c r="C290" s="9" t="s">
        <v>195</v>
      </c>
      <c r="D290" s="97" t="str">
        <f t="shared" si="8"/>
        <v>V.H.1.a.</v>
      </c>
      <c r="E290" s="4" t="s">
        <v>186</v>
      </c>
      <c r="F290" s="97">
        <v>5</v>
      </c>
      <c r="G290" s="97"/>
      <c r="H290" s="101"/>
    </row>
    <row r="291" spans="2:8" x14ac:dyDescent="0.2">
      <c r="B291" s="66" t="s">
        <v>327</v>
      </c>
      <c r="C291" s="9" t="s">
        <v>195</v>
      </c>
      <c r="D291" s="97" t="str">
        <f t="shared" si="8"/>
        <v>V.H.2.a.</v>
      </c>
      <c r="E291" s="4" t="s">
        <v>187</v>
      </c>
      <c r="F291" s="97">
        <v>5</v>
      </c>
      <c r="G291" s="97"/>
      <c r="H291" s="101"/>
    </row>
    <row r="292" spans="2:8" x14ac:dyDescent="0.2">
      <c r="B292" s="66" t="s">
        <v>328</v>
      </c>
      <c r="C292" s="9" t="s">
        <v>195</v>
      </c>
      <c r="D292" s="97" t="str">
        <f t="shared" si="8"/>
        <v>V.H.3.a.</v>
      </c>
      <c r="E292" s="4" t="s">
        <v>188</v>
      </c>
      <c r="F292" s="97">
        <v>5</v>
      </c>
      <c r="G292" s="97"/>
      <c r="H292" s="101"/>
    </row>
    <row r="293" spans="2:8" x14ac:dyDescent="0.2">
      <c r="B293" s="66" t="s">
        <v>332</v>
      </c>
      <c r="C293" s="9" t="s">
        <v>195</v>
      </c>
      <c r="D293" s="97" t="str">
        <f t="shared" si="8"/>
        <v>V.I.1.a.</v>
      </c>
      <c r="E293" s="4" t="s">
        <v>190</v>
      </c>
      <c r="F293" s="97">
        <v>5</v>
      </c>
      <c r="G293" s="97"/>
      <c r="H293" s="101"/>
    </row>
    <row r="294" spans="2:8" x14ac:dyDescent="0.2">
      <c r="B294" s="66" t="s">
        <v>333</v>
      </c>
      <c r="C294" s="9" t="s">
        <v>195</v>
      </c>
      <c r="D294" s="97" t="str">
        <f t="shared" si="8"/>
        <v>V.I.2.a.</v>
      </c>
      <c r="E294" s="4" t="s">
        <v>191</v>
      </c>
      <c r="F294" s="97">
        <v>3</v>
      </c>
      <c r="G294" s="97"/>
      <c r="H294" s="101"/>
    </row>
    <row r="295" spans="2:8" x14ac:dyDescent="0.2">
      <c r="B295" s="66" t="s">
        <v>334</v>
      </c>
      <c r="C295" s="9" t="s">
        <v>195</v>
      </c>
      <c r="D295" s="97" t="str">
        <f t="shared" si="8"/>
        <v>V.I.3.a.</v>
      </c>
      <c r="E295" s="4" t="s">
        <v>192</v>
      </c>
      <c r="F295" s="97">
        <v>1</v>
      </c>
      <c r="G295" s="97"/>
      <c r="H295" s="101"/>
    </row>
    <row r="296" spans="2:8" x14ac:dyDescent="0.2">
      <c r="B296" s="70" t="s">
        <v>753</v>
      </c>
      <c r="C296" s="71" t="s">
        <v>195</v>
      </c>
      <c r="D296" s="98" t="str">
        <f t="shared" si="8"/>
        <v>V.J.0.a.</v>
      </c>
      <c r="E296" s="77" t="s">
        <v>71</v>
      </c>
      <c r="F296" s="280">
        <v>0.5</v>
      </c>
      <c r="G296" s="98"/>
      <c r="H296" s="104"/>
    </row>
  </sheetData>
  <dataValidations disablePrompts="1" count="2">
    <dataValidation type="list" allowBlank="1" showInputMessage="1" showErrorMessage="1" sqref="B24:B32" xr:uid="{00000000-0002-0000-0200-000000000000}">
      <formula1>INDIRECT(III.)</formula1>
    </dataValidation>
    <dataValidation type="list" allowBlank="1" showInputMessage="1" showErrorMessage="1" sqref="B202:B248" xr:uid="{00000000-0002-0000-0200-000001000000}">
      <formula1>$D$90:$D$106</formula1>
    </dataValidation>
  </dataValidations>
  <pageMargins left="0.7" right="0.7" top="0.75" bottom="0.75" header="0.3" footer="0.3"/>
  <pageSetup paperSize="150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 tint="4.9989318521683403E-2"/>
  </sheetPr>
  <dimension ref="A2:H106"/>
  <sheetViews>
    <sheetView topLeftCell="A85" workbookViewId="0">
      <selection activeCell="C37" sqref="C37"/>
    </sheetView>
  </sheetViews>
  <sheetFormatPr baseColWidth="10" defaultColWidth="9.1640625" defaultRowHeight="13" x14ac:dyDescent="0.2"/>
  <cols>
    <col min="1" max="1" width="2.5" style="5" customWidth="1"/>
    <col min="2" max="2" width="15.33203125" style="11" customWidth="1"/>
    <col min="3" max="4" width="15.33203125" style="5" customWidth="1"/>
    <col min="5" max="5" width="123.5" style="5" customWidth="1"/>
    <col min="6" max="6" width="13.1640625" style="5" customWidth="1"/>
    <col min="7" max="7" width="9.1640625" style="11"/>
    <col min="8" max="8" width="17" style="12" bestFit="1" customWidth="1"/>
    <col min="9" max="16384" width="9.1640625" style="5"/>
  </cols>
  <sheetData>
    <row r="2" spans="2:5" x14ac:dyDescent="0.2">
      <c r="B2" s="60" t="s">
        <v>15</v>
      </c>
      <c r="C2" s="60" t="s">
        <v>21</v>
      </c>
      <c r="D2" s="60" t="s">
        <v>121</v>
      </c>
      <c r="E2" s="4" t="s">
        <v>47</v>
      </c>
    </row>
    <row r="3" spans="2:5" x14ac:dyDescent="0.2">
      <c r="B3" s="60" t="s">
        <v>15</v>
      </c>
      <c r="C3" s="60" t="s">
        <v>23</v>
      </c>
      <c r="D3" s="60" t="s">
        <v>125</v>
      </c>
      <c r="E3" s="4" t="s">
        <v>48</v>
      </c>
    </row>
    <row r="4" spans="2:5" x14ac:dyDescent="0.2">
      <c r="B4" s="60" t="s">
        <v>15</v>
      </c>
      <c r="C4" s="60" t="s">
        <v>25</v>
      </c>
      <c r="D4" s="60" t="s">
        <v>131</v>
      </c>
      <c r="E4" s="4" t="s">
        <v>781</v>
      </c>
    </row>
    <row r="5" spans="2:5" x14ac:dyDescent="0.2">
      <c r="B5" s="60" t="s">
        <v>15</v>
      </c>
      <c r="C5" s="60" t="s">
        <v>27</v>
      </c>
      <c r="D5" s="60" t="s">
        <v>132</v>
      </c>
      <c r="E5" s="4" t="s">
        <v>50</v>
      </c>
    </row>
    <row r="6" spans="2:5" x14ac:dyDescent="0.2">
      <c r="B6" s="60" t="s">
        <v>15</v>
      </c>
      <c r="C6" s="60" t="s">
        <v>29</v>
      </c>
      <c r="D6" s="60" t="s">
        <v>133</v>
      </c>
      <c r="E6" s="4" t="s">
        <v>51</v>
      </c>
    </row>
    <row r="7" spans="2:5" ht="14" x14ac:dyDescent="0.2">
      <c r="B7" s="60" t="s">
        <v>15</v>
      </c>
      <c r="C7" s="60" t="s">
        <v>31</v>
      </c>
      <c r="D7" s="60" t="s">
        <v>134</v>
      </c>
      <c r="E7" s="326" t="s">
        <v>782</v>
      </c>
    </row>
    <row r="8" spans="2:5" x14ac:dyDescent="0.2">
      <c r="B8" s="60" t="s">
        <v>15</v>
      </c>
      <c r="C8" s="60" t="s">
        <v>33</v>
      </c>
      <c r="D8" s="60" t="s">
        <v>137</v>
      </c>
      <c r="E8" s="4" t="s">
        <v>795</v>
      </c>
    </row>
    <row r="9" spans="2:5" x14ac:dyDescent="0.2">
      <c r="B9" s="60" t="s">
        <v>15</v>
      </c>
      <c r="C9" s="60" t="s">
        <v>35</v>
      </c>
      <c r="D9" s="60" t="s">
        <v>141</v>
      </c>
      <c r="E9" s="8" t="s">
        <v>54</v>
      </c>
    </row>
    <row r="10" spans="2:5" x14ac:dyDescent="0.2">
      <c r="B10" s="60" t="s">
        <v>15</v>
      </c>
      <c r="C10" s="60" t="s">
        <v>37</v>
      </c>
      <c r="D10" s="60" t="s">
        <v>145</v>
      </c>
      <c r="E10" s="8" t="s">
        <v>55</v>
      </c>
    </row>
    <row r="11" spans="2:5" x14ac:dyDescent="0.2">
      <c r="B11" s="6"/>
      <c r="C11" s="6"/>
      <c r="D11" s="6"/>
      <c r="E11" s="87"/>
    </row>
    <row r="13" spans="2:5" x14ac:dyDescent="0.2">
      <c r="B13" s="73" t="s">
        <v>388</v>
      </c>
      <c r="C13" s="74" t="s">
        <v>389</v>
      </c>
      <c r="D13" s="74" t="s">
        <v>390</v>
      </c>
      <c r="E13" s="75" t="s">
        <v>391</v>
      </c>
    </row>
    <row r="14" spans="2:5" x14ac:dyDescent="0.2">
      <c r="B14" s="66" t="s">
        <v>121</v>
      </c>
      <c r="C14" s="9" t="s">
        <v>73</v>
      </c>
      <c r="D14" s="60" t="s">
        <v>253</v>
      </c>
      <c r="E14" s="67" t="s">
        <v>122</v>
      </c>
    </row>
    <row r="15" spans="2:5" x14ac:dyDescent="0.2">
      <c r="B15" s="66" t="s">
        <v>121</v>
      </c>
      <c r="C15" s="9" t="s">
        <v>74</v>
      </c>
      <c r="D15" s="60" t="s">
        <v>256</v>
      </c>
      <c r="E15" s="67" t="s">
        <v>123</v>
      </c>
    </row>
    <row r="16" spans="2:5" x14ac:dyDescent="0.2">
      <c r="B16" s="66" t="s">
        <v>121</v>
      </c>
      <c r="C16" s="9" t="s">
        <v>76</v>
      </c>
      <c r="D16" s="60" t="s">
        <v>258</v>
      </c>
      <c r="E16" s="67" t="s">
        <v>124</v>
      </c>
    </row>
    <row r="17" spans="2:5" x14ac:dyDescent="0.2">
      <c r="B17" s="66" t="s">
        <v>125</v>
      </c>
      <c r="C17" s="9" t="s">
        <v>73</v>
      </c>
      <c r="D17" s="60" t="s">
        <v>271</v>
      </c>
      <c r="E17" s="67" t="s">
        <v>126</v>
      </c>
    </row>
    <row r="18" spans="2:5" x14ac:dyDescent="0.2">
      <c r="B18" s="66" t="s">
        <v>125</v>
      </c>
      <c r="C18" s="9" t="s">
        <v>74</v>
      </c>
      <c r="D18" s="60" t="s">
        <v>272</v>
      </c>
      <c r="E18" s="67" t="s">
        <v>127</v>
      </c>
    </row>
    <row r="19" spans="2:5" x14ac:dyDescent="0.2">
      <c r="B19" s="66" t="s">
        <v>125</v>
      </c>
      <c r="C19" s="9" t="s">
        <v>76</v>
      </c>
      <c r="D19" s="60" t="s">
        <v>273</v>
      </c>
      <c r="E19" s="67" t="s">
        <v>128</v>
      </c>
    </row>
    <row r="20" spans="2:5" x14ac:dyDescent="0.2">
      <c r="B20" s="66" t="s">
        <v>125</v>
      </c>
      <c r="C20" s="9" t="s">
        <v>97</v>
      </c>
      <c r="D20" s="60" t="s">
        <v>274</v>
      </c>
      <c r="E20" s="67" t="s">
        <v>129</v>
      </c>
    </row>
    <row r="21" spans="2:5" x14ac:dyDescent="0.2">
      <c r="B21" s="66" t="s">
        <v>125</v>
      </c>
      <c r="C21" s="9" t="s">
        <v>99</v>
      </c>
      <c r="D21" s="60" t="s">
        <v>275</v>
      </c>
      <c r="E21" s="67" t="s">
        <v>130</v>
      </c>
    </row>
    <row r="22" spans="2:5" ht="14" x14ac:dyDescent="0.2">
      <c r="B22" s="66" t="s">
        <v>131</v>
      </c>
      <c r="C22" s="9" t="s">
        <v>79</v>
      </c>
      <c r="D22" s="60" t="s">
        <v>276</v>
      </c>
      <c r="E22" s="325" t="s">
        <v>781</v>
      </c>
    </row>
    <row r="23" spans="2:5" x14ac:dyDescent="0.2">
      <c r="B23" s="66" t="s">
        <v>132</v>
      </c>
      <c r="C23" s="9" t="s">
        <v>79</v>
      </c>
      <c r="D23" s="60" t="s">
        <v>277</v>
      </c>
      <c r="E23" s="68" t="s">
        <v>50</v>
      </c>
    </row>
    <row r="24" spans="2:5" x14ac:dyDescent="0.2">
      <c r="B24" s="66" t="s">
        <v>133</v>
      </c>
      <c r="C24" s="9" t="s">
        <v>79</v>
      </c>
      <c r="D24" s="60" t="s">
        <v>278</v>
      </c>
      <c r="E24" s="68" t="s">
        <v>51</v>
      </c>
    </row>
    <row r="25" spans="2:5" x14ac:dyDescent="0.2">
      <c r="B25" s="66" t="s">
        <v>134</v>
      </c>
      <c r="C25" s="9" t="s">
        <v>73</v>
      </c>
      <c r="D25" s="60" t="s">
        <v>279</v>
      </c>
      <c r="E25" s="4" t="s">
        <v>787</v>
      </c>
    </row>
    <row r="26" spans="2:5" x14ac:dyDescent="0.2">
      <c r="B26" s="66" t="s">
        <v>134</v>
      </c>
      <c r="C26" s="9" t="s">
        <v>74</v>
      </c>
      <c r="D26" s="60" t="s">
        <v>280</v>
      </c>
      <c r="E26" s="4" t="s">
        <v>135</v>
      </c>
    </row>
    <row r="27" spans="2:5" x14ac:dyDescent="0.2">
      <c r="B27" s="66" t="s">
        <v>134</v>
      </c>
      <c r="C27" s="309" t="s">
        <v>76</v>
      </c>
      <c r="D27" s="60" t="s">
        <v>783</v>
      </c>
      <c r="E27" s="331" t="s">
        <v>788</v>
      </c>
    </row>
    <row r="28" spans="2:5" x14ac:dyDescent="0.2">
      <c r="B28" s="66" t="s">
        <v>134</v>
      </c>
      <c r="C28" s="309" t="s">
        <v>97</v>
      </c>
      <c r="D28" s="60" t="s">
        <v>784</v>
      </c>
      <c r="E28" s="331" t="s">
        <v>136</v>
      </c>
    </row>
    <row r="29" spans="2:5" x14ac:dyDescent="0.2">
      <c r="B29" s="66" t="s">
        <v>134</v>
      </c>
      <c r="C29" s="309" t="s">
        <v>99</v>
      </c>
      <c r="D29" s="60" t="s">
        <v>789</v>
      </c>
      <c r="E29" s="331" t="s">
        <v>793</v>
      </c>
    </row>
    <row r="30" spans="2:5" ht="14" x14ac:dyDescent="0.2">
      <c r="B30" s="66" t="s">
        <v>134</v>
      </c>
      <c r="C30" s="309" t="s">
        <v>101</v>
      </c>
      <c r="D30" s="60" t="s">
        <v>790</v>
      </c>
      <c r="E30" s="324" t="s">
        <v>794</v>
      </c>
    </row>
    <row r="31" spans="2:5" x14ac:dyDescent="0.2">
      <c r="B31" s="66" t="s">
        <v>137</v>
      </c>
      <c r="C31" s="9" t="s">
        <v>73</v>
      </c>
      <c r="D31" s="60" t="s">
        <v>281</v>
      </c>
      <c r="E31" s="67" t="s">
        <v>138</v>
      </c>
    </row>
    <row r="32" spans="2:5" x14ac:dyDescent="0.2">
      <c r="B32" s="66" t="s">
        <v>137</v>
      </c>
      <c r="C32" s="9" t="s">
        <v>74</v>
      </c>
      <c r="D32" s="60" t="s">
        <v>282</v>
      </c>
      <c r="E32" s="67" t="s">
        <v>139</v>
      </c>
    </row>
    <row r="33" spans="1:5" x14ac:dyDescent="0.2">
      <c r="B33" s="66" t="s">
        <v>137</v>
      </c>
      <c r="C33" s="9" t="s">
        <v>76</v>
      </c>
      <c r="D33" s="60" t="s">
        <v>283</v>
      </c>
      <c r="E33" s="67" t="s">
        <v>140</v>
      </c>
    </row>
    <row r="34" spans="1:5" ht="14" x14ac:dyDescent="0.2">
      <c r="B34" s="66" t="s">
        <v>141</v>
      </c>
      <c r="C34" s="9" t="s">
        <v>73</v>
      </c>
      <c r="D34" s="60" t="s">
        <v>284</v>
      </c>
      <c r="E34" s="69" t="s">
        <v>142</v>
      </c>
    </row>
    <row r="35" spans="1:5" x14ac:dyDescent="0.2">
      <c r="B35" s="70" t="s">
        <v>141</v>
      </c>
      <c r="C35" s="71" t="s">
        <v>74</v>
      </c>
      <c r="D35" s="281" t="s">
        <v>286</v>
      </c>
      <c r="E35" s="72" t="s">
        <v>143</v>
      </c>
    </row>
    <row r="36" spans="1:5" x14ac:dyDescent="0.2">
      <c r="B36" s="66" t="s">
        <v>141</v>
      </c>
      <c r="C36" s="71" t="s">
        <v>76</v>
      </c>
      <c r="D36" s="280" t="s">
        <v>287</v>
      </c>
      <c r="E36" s="8" t="s">
        <v>144</v>
      </c>
    </row>
    <row r="37" spans="1:5" x14ac:dyDescent="0.2">
      <c r="A37" s="7"/>
      <c r="B37" s="66" t="s">
        <v>145</v>
      </c>
      <c r="C37" s="71" t="s">
        <v>73</v>
      </c>
      <c r="D37" s="280" t="s">
        <v>288</v>
      </c>
      <c r="E37" s="8" t="s">
        <v>146</v>
      </c>
    </row>
    <row r="38" spans="1:5" x14ac:dyDescent="0.2">
      <c r="A38" s="7"/>
      <c r="B38" s="66" t="s">
        <v>145</v>
      </c>
      <c r="C38" s="71" t="s">
        <v>74</v>
      </c>
      <c r="D38" s="280" t="s">
        <v>289</v>
      </c>
      <c r="E38" s="8" t="s">
        <v>147</v>
      </c>
    </row>
    <row r="39" spans="1:5" x14ac:dyDescent="0.2">
      <c r="A39" s="7"/>
      <c r="B39" s="66" t="s">
        <v>145</v>
      </c>
      <c r="C39" s="71" t="s">
        <v>76</v>
      </c>
      <c r="D39" s="280" t="s">
        <v>290</v>
      </c>
      <c r="E39" s="8" t="s">
        <v>148</v>
      </c>
    </row>
    <row r="40" spans="1:5" x14ac:dyDescent="0.2">
      <c r="A40" s="7"/>
      <c r="B40" s="6"/>
      <c r="C40" s="330"/>
      <c r="D40" s="6"/>
      <c r="E40" s="87"/>
    </row>
    <row r="41" spans="1:5" x14ac:dyDescent="0.2">
      <c r="A41" s="7"/>
      <c r="B41" s="6"/>
      <c r="C41" s="330"/>
      <c r="D41" s="6"/>
      <c r="E41" s="87"/>
    </row>
    <row r="42" spans="1:5" x14ac:dyDescent="0.2">
      <c r="A42" s="7"/>
      <c r="B42" s="6"/>
      <c r="C42" s="330"/>
      <c r="D42" s="6"/>
      <c r="E42" s="87"/>
    </row>
    <row r="43" spans="1:5" x14ac:dyDescent="0.2">
      <c r="A43" s="7"/>
      <c r="B43" s="6"/>
      <c r="C43" s="330"/>
      <c r="D43" s="6"/>
      <c r="E43" s="87"/>
    </row>
    <row r="44" spans="1:5" x14ac:dyDescent="0.2">
      <c r="A44" s="7"/>
      <c r="B44" s="6"/>
      <c r="C44" s="330"/>
      <c r="D44" s="6"/>
      <c r="E44" s="87"/>
    </row>
    <row r="45" spans="1:5" x14ac:dyDescent="0.2">
      <c r="A45" s="7"/>
      <c r="B45" s="6"/>
      <c r="C45" s="330"/>
      <c r="D45" s="6"/>
      <c r="E45" s="87"/>
    </row>
    <row r="46" spans="1:5" x14ac:dyDescent="0.2">
      <c r="A46" s="7"/>
      <c r="B46" s="6"/>
      <c r="C46" s="330"/>
      <c r="D46" s="6"/>
      <c r="E46" s="87"/>
    </row>
    <row r="47" spans="1:5" x14ac:dyDescent="0.2">
      <c r="A47" s="7"/>
      <c r="B47" s="6"/>
      <c r="C47" s="330"/>
      <c r="D47" s="6"/>
      <c r="E47" s="87"/>
    </row>
    <row r="48" spans="1:5" x14ac:dyDescent="0.2">
      <c r="A48" s="7"/>
      <c r="B48" s="6"/>
      <c r="C48" s="330"/>
      <c r="D48" s="6"/>
      <c r="E48" s="87"/>
    </row>
    <row r="49" spans="1:8" x14ac:dyDescent="0.2">
      <c r="A49" s="7"/>
      <c r="B49" s="6"/>
      <c r="C49" s="330"/>
      <c r="D49" s="6"/>
      <c r="E49" s="87"/>
    </row>
    <row r="50" spans="1:8" x14ac:dyDescent="0.2">
      <c r="B50" s="327"/>
      <c r="C50" s="328"/>
      <c r="D50" s="282"/>
      <c r="E50" s="329"/>
    </row>
    <row r="51" spans="1:8" x14ac:dyDescent="0.2">
      <c r="B51" s="73" t="s">
        <v>388</v>
      </c>
      <c r="C51" s="74" t="s">
        <v>389</v>
      </c>
      <c r="D51" s="74" t="s">
        <v>390</v>
      </c>
      <c r="E51" s="79" t="s">
        <v>391</v>
      </c>
      <c r="F51" s="80" t="s">
        <v>392</v>
      </c>
      <c r="G51" s="60"/>
      <c r="H51" s="61"/>
    </row>
    <row r="52" spans="1:8" x14ac:dyDescent="0.2">
      <c r="B52" s="66" t="s">
        <v>253</v>
      </c>
      <c r="C52" s="9" t="s">
        <v>195</v>
      </c>
      <c r="D52" s="60" t="s">
        <v>484</v>
      </c>
      <c r="E52" s="8" t="s">
        <v>254</v>
      </c>
      <c r="F52" s="76">
        <v>40</v>
      </c>
      <c r="G52" s="60"/>
      <c r="H52" s="61"/>
    </row>
    <row r="53" spans="1:8" x14ac:dyDescent="0.2">
      <c r="B53" s="66" t="s">
        <v>253</v>
      </c>
      <c r="C53" s="9" t="s">
        <v>198</v>
      </c>
      <c r="D53" s="60" t="s">
        <v>485</v>
      </c>
      <c r="E53" s="8" t="s">
        <v>255</v>
      </c>
      <c r="F53" s="76">
        <v>20</v>
      </c>
      <c r="G53" s="60"/>
      <c r="H53" s="61"/>
    </row>
    <row r="54" spans="1:8" x14ac:dyDescent="0.2">
      <c r="B54" s="66" t="s">
        <v>256</v>
      </c>
      <c r="C54" s="9" t="s">
        <v>195</v>
      </c>
      <c r="D54" s="60" t="s">
        <v>486</v>
      </c>
      <c r="E54" s="8" t="s">
        <v>257</v>
      </c>
      <c r="F54" s="76">
        <v>15</v>
      </c>
      <c r="G54" s="60"/>
      <c r="H54" s="61"/>
    </row>
    <row r="55" spans="1:8" x14ac:dyDescent="0.2">
      <c r="B55" s="66" t="s">
        <v>256</v>
      </c>
      <c r="C55" s="9" t="s">
        <v>198</v>
      </c>
      <c r="D55" s="60" t="s">
        <v>487</v>
      </c>
      <c r="E55" s="8" t="s">
        <v>136</v>
      </c>
      <c r="F55" s="76">
        <v>10</v>
      </c>
      <c r="G55" s="60"/>
      <c r="H55" s="61"/>
    </row>
    <row r="56" spans="1:8" x14ac:dyDescent="0.2">
      <c r="B56" s="66" t="s">
        <v>258</v>
      </c>
      <c r="C56" s="9" t="s">
        <v>195</v>
      </c>
      <c r="D56" s="60" t="s">
        <v>488</v>
      </c>
      <c r="E56" s="8" t="s">
        <v>259</v>
      </c>
      <c r="F56" s="76">
        <v>40</v>
      </c>
      <c r="G56" s="60"/>
      <c r="H56" s="61"/>
    </row>
    <row r="57" spans="1:8" x14ac:dyDescent="0.2">
      <c r="B57" s="66" t="s">
        <v>258</v>
      </c>
      <c r="C57" s="9" t="s">
        <v>198</v>
      </c>
      <c r="D57" s="60" t="s">
        <v>489</v>
      </c>
      <c r="E57" s="8" t="s">
        <v>260</v>
      </c>
      <c r="F57" s="76">
        <v>30</v>
      </c>
      <c r="G57" s="60"/>
      <c r="H57" s="61"/>
    </row>
    <row r="58" spans="1:8" x14ac:dyDescent="0.2">
      <c r="B58" s="66" t="s">
        <v>258</v>
      </c>
      <c r="C58" s="9" t="s">
        <v>204</v>
      </c>
      <c r="D58" s="60" t="s">
        <v>490</v>
      </c>
      <c r="E58" s="8" t="s">
        <v>261</v>
      </c>
      <c r="F58" s="76">
        <v>20</v>
      </c>
      <c r="G58" s="60"/>
      <c r="H58" s="61"/>
    </row>
    <row r="59" spans="1:8" x14ac:dyDescent="0.2">
      <c r="B59" s="66" t="s">
        <v>258</v>
      </c>
      <c r="C59" s="322" t="s">
        <v>766</v>
      </c>
      <c r="D59" s="60" t="s">
        <v>768</v>
      </c>
      <c r="E59" s="323" t="s">
        <v>770</v>
      </c>
      <c r="F59" s="76">
        <v>25</v>
      </c>
      <c r="G59" s="60"/>
      <c r="H59" s="61"/>
    </row>
    <row r="60" spans="1:8" ht="14" x14ac:dyDescent="0.2">
      <c r="B60" s="66" t="s">
        <v>258</v>
      </c>
      <c r="C60" s="322" t="s">
        <v>767</v>
      </c>
      <c r="D60" s="280" t="s">
        <v>769</v>
      </c>
      <c r="E60" s="324" t="s">
        <v>771</v>
      </c>
      <c r="F60" s="76">
        <v>25</v>
      </c>
      <c r="G60" s="60"/>
      <c r="H60" s="61"/>
    </row>
    <row r="61" spans="1:8" x14ac:dyDescent="0.2">
      <c r="B61" s="66" t="s">
        <v>258</v>
      </c>
      <c r="C61" s="9" t="s">
        <v>263</v>
      </c>
      <c r="D61" s="60" t="s">
        <v>491</v>
      </c>
      <c r="E61" s="323" t="s">
        <v>772</v>
      </c>
      <c r="F61" s="76">
        <v>20</v>
      </c>
      <c r="G61" s="60"/>
      <c r="H61" s="61"/>
    </row>
    <row r="62" spans="1:8" x14ac:dyDescent="0.2">
      <c r="B62" s="66" t="s">
        <v>258</v>
      </c>
      <c r="C62" s="9" t="s">
        <v>265</v>
      </c>
      <c r="D62" s="60" t="s">
        <v>492</v>
      </c>
      <c r="E62" s="323" t="s">
        <v>773</v>
      </c>
      <c r="F62" s="76">
        <v>20</v>
      </c>
      <c r="G62" s="60"/>
      <c r="H62" s="61"/>
    </row>
    <row r="63" spans="1:8" x14ac:dyDescent="0.2">
      <c r="B63" s="66" t="s">
        <v>258</v>
      </c>
      <c r="C63" s="309" t="s">
        <v>774</v>
      </c>
      <c r="D63" s="280" t="s">
        <v>775</v>
      </c>
      <c r="E63" s="320" t="s">
        <v>776</v>
      </c>
      <c r="F63" s="321">
        <v>15</v>
      </c>
      <c r="G63" s="60"/>
      <c r="H63" s="61"/>
    </row>
    <row r="64" spans="1:8" x14ac:dyDescent="0.2">
      <c r="B64" s="66" t="s">
        <v>258</v>
      </c>
      <c r="C64" s="9" t="s">
        <v>267</v>
      </c>
      <c r="D64" s="60" t="s">
        <v>493</v>
      </c>
      <c r="E64" s="8" t="s">
        <v>268</v>
      </c>
      <c r="F64" s="76">
        <v>10</v>
      </c>
      <c r="G64" s="60"/>
      <c r="H64" s="61"/>
    </row>
    <row r="65" spans="2:8" x14ac:dyDescent="0.2">
      <c r="B65" s="66" t="s">
        <v>258</v>
      </c>
      <c r="C65" s="9" t="s">
        <v>269</v>
      </c>
      <c r="D65" s="60" t="s">
        <v>494</v>
      </c>
      <c r="E65" s="8" t="s">
        <v>270</v>
      </c>
      <c r="F65" s="76">
        <v>10</v>
      </c>
      <c r="G65" s="60"/>
      <c r="H65" s="61"/>
    </row>
    <row r="66" spans="2:8" x14ac:dyDescent="0.2">
      <c r="B66" s="66" t="s">
        <v>271</v>
      </c>
      <c r="C66" s="9" t="s">
        <v>195</v>
      </c>
      <c r="D66" s="60" t="s">
        <v>495</v>
      </c>
      <c r="E66" s="323" t="s">
        <v>779</v>
      </c>
      <c r="F66" s="76">
        <v>30</v>
      </c>
      <c r="G66" s="60"/>
      <c r="H66" s="61"/>
    </row>
    <row r="67" spans="2:8" x14ac:dyDescent="0.2">
      <c r="B67" s="66" t="s">
        <v>271</v>
      </c>
      <c r="C67" s="9" t="s">
        <v>198</v>
      </c>
      <c r="D67" s="60" t="s">
        <v>496</v>
      </c>
      <c r="E67" s="323" t="s">
        <v>780</v>
      </c>
      <c r="F67" s="76">
        <v>25</v>
      </c>
      <c r="G67" s="60"/>
      <c r="H67" s="61"/>
    </row>
    <row r="68" spans="2:8" x14ac:dyDescent="0.2">
      <c r="B68" s="66" t="s">
        <v>271</v>
      </c>
      <c r="C68" s="309" t="s">
        <v>204</v>
      </c>
      <c r="D68" s="280" t="s">
        <v>777</v>
      </c>
      <c r="E68" s="8" t="s">
        <v>257</v>
      </c>
      <c r="F68" s="76">
        <v>15</v>
      </c>
      <c r="G68" s="60"/>
      <c r="H68" s="61"/>
    </row>
    <row r="69" spans="2:8" x14ac:dyDescent="0.2">
      <c r="B69" s="66" t="s">
        <v>271</v>
      </c>
      <c r="C69" s="309" t="s">
        <v>206</v>
      </c>
      <c r="D69" s="280" t="s">
        <v>778</v>
      </c>
      <c r="E69" s="8" t="s">
        <v>136</v>
      </c>
      <c r="F69" s="76">
        <v>10</v>
      </c>
      <c r="G69" s="60"/>
      <c r="H69" s="61"/>
    </row>
    <row r="70" spans="2:8" x14ac:dyDescent="0.2">
      <c r="B70" s="66" t="s">
        <v>272</v>
      </c>
      <c r="C70" s="9" t="s">
        <v>195</v>
      </c>
      <c r="D70" s="60" t="s">
        <v>497</v>
      </c>
      <c r="E70" s="8" t="s">
        <v>257</v>
      </c>
      <c r="F70" s="76">
        <v>10</v>
      </c>
      <c r="G70" s="60"/>
      <c r="H70" s="61"/>
    </row>
    <row r="71" spans="2:8" x14ac:dyDescent="0.2">
      <c r="B71" s="66" t="s">
        <v>272</v>
      </c>
      <c r="C71" s="9" t="s">
        <v>198</v>
      </c>
      <c r="D71" s="60" t="s">
        <v>498</v>
      </c>
      <c r="E71" s="8" t="s">
        <v>136</v>
      </c>
      <c r="F71" s="76">
        <v>5</v>
      </c>
      <c r="G71" s="60"/>
      <c r="H71" s="61"/>
    </row>
    <row r="72" spans="2:8" x14ac:dyDescent="0.2">
      <c r="B72" s="66" t="s">
        <v>273</v>
      </c>
      <c r="C72" s="9" t="s">
        <v>195</v>
      </c>
      <c r="D72" s="60" t="s">
        <v>499</v>
      </c>
      <c r="E72" s="8" t="s">
        <v>257</v>
      </c>
      <c r="F72" s="76">
        <v>5</v>
      </c>
      <c r="G72" s="60"/>
      <c r="H72" s="61"/>
    </row>
    <row r="73" spans="2:8" x14ac:dyDescent="0.2">
      <c r="B73" s="66" t="s">
        <v>273</v>
      </c>
      <c r="C73" s="9" t="s">
        <v>198</v>
      </c>
      <c r="D73" s="60" t="s">
        <v>500</v>
      </c>
      <c r="E73" s="8" t="s">
        <v>136</v>
      </c>
      <c r="F73" s="76">
        <v>3</v>
      </c>
      <c r="G73" s="60"/>
      <c r="H73" s="61"/>
    </row>
    <row r="74" spans="2:8" x14ac:dyDescent="0.2">
      <c r="B74" s="66" t="s">
        <v>274</v>
      </c>
      <c r="C74" s="9" t="s">
        <v>195</v>
      </c>
      <c r="D74" s="60" t="s">
        <v>501</v>
      </c>
      <c r="E74" s="8" t="s">
        <v>257</v>
      </c>
      <c r="F74" s="76">
        <v>10</v>
      </c>
      <c r="G74" s="60"/>
      <c r="H74" s="61"/>
    </row>
    <row r="75" spans="2:8" x14ac:dyDescent="0.2">
      <c r="B75" s="66" t="s">
        <v>274</v>
      </c>
      <c r="C75" s="9" t="s">
        <v>198</v>
      </c>
      <c r="D75" s="60" t="s">
        <v>502</v>
      </c>
      <c r="E75" s="8" t="s">
        <v>136</v>
      </c>
      <c r="F75" s="76">
        <v>5</v>
      </c>
      <c r="G75" s="60"/>
      <c r="H75" s="61"/>
    </row>
    <row r="76" spans="2:8" x14ac:dyDescent="0.2">
      <c r="B76" s="66" t="s">
        <v>275</v>
      </c>
      <c r="C76" s="9" t="s">
        <v>195</v>
      </c>
      <c r="D76" s="60" t="s">
        <v>503</v>
      </c>
      <c r="E76" s="4" t="s">
        <v>130</v>
      </c>
      <c r="F76" s="76">
        <v>1</v>
      </c>
      <c r="G76" s="60"/>
      <c r="H76" s="61"/>
    </row>
    <row r="77" spans="2:8" x14ac:dyDescent="0.2">
      <c r="B77" s="66" t="s">
        <v>276</v>
      </c>
      <c r="C77" s="9" t="s">
        <v>195</v>
      </c>
      <c r="D77" s="60" t="s">
        <v>504</v>
      </c>
      <c r="E77" s="4" t="s">
        <v>49</v>
      </c>
      <c r="F77" s="76">
        <v>2</v>
      </c>
      <c r="G77" s="60"/>
      <c r="H77" s="61"/>
    </row>
    <row r="78" spans="2:8" x14ac:dyDescent="0.2">
      <c r="B78" s="66" t="s">
        <v>277</v>
      </c>
      <c r="C78" s="9" t="s">
        <v>195</v>
      </c>
      <c r="D78" s="60" t="s">
        <v>505</v>
      </c>
      <c r="E78" s="4" t="s">
        <v>50</v>
      </c>
      <c r="F78" s="76">
        <v>15</v>
      </c>
      <c r="G78" s="60"/>
      <c r="H78" s="61"/>
    </row>
    <row r="79" spans="2:8" x14ac:dyDescent="0.2">
      <c r="B79" s="66" t="s">
        <v>278</v>
      </c>
      <c r="C79" s="9" t="s">
        <v>195</v>
      </c>
      <c r="D79" s="60" t="s">
        <v>506</v>
      </c>
      <c r="E79" s="4" t="s">
        <v>51</v>
      </c>
      <c r="F79" s="76">
        <v>10</v>
      </c>
      <c r="G79" s="60"/>
      <c r="H79" s="61"/>
    </row>
    <row r="80" spans="2:8" x14ac:dyDescent="0.2">
      <c r="B80" s="66" t="s">
        <v>279</v>
      </c>
      <c r="C80" s="9" t="s">
        <v>195</v>
      </c>
      <c r="D80" s="60" t="s">
        <v>507</v>
      </c>
      <c r="E80" s="4" t="s">
        <v>787</v>
      </c>
      <c r="F80" s="76">
        <v>60</v>
      </c>
      <c r="G80" s="60"/>
      <c r="H80" s="61"/>
    </row>
    <row r="81" spans="2:8" x14ac:dyDescent="0.2">
      <c r="B81" s="66" t="s">
        <v>280</v>
      </c>
      <c r="C81" s="9" t="s">
        <v>195</v>
      </c>
      <c r="D81" s="60" t="s">
        <v>508</v>
      </c>
      <c r="E81" s="4" t="s">
        <v>135</v>
      </c>
      <c r="F81" s="76">
        <v>50</v>
      </c>
      <c r="G81" s="60"/>
      <c r="H81" s="61"/>
    </row>
    <row r="82" spans="2:8" x14ac:dyDescent="0.2">
      <c r="B82" s="66" t="s">
        <v>783</v>
      </c>
      <c r="C82" s="9" t="s">
        <v>195</v>
      </c>
      <c r="D82" s="280" t="s">
        <v>785</v>
      </c>
      <c r="E82" s="320" t="s">
        <v>788</v>
      </c>
      <c r="F82" s="321">
        <v>40</v>
      </c>
      <c r="G82" s="60"/>
      <c r="H82" s="61"/>
    </row>
    <row r="83" spans="2:8" x14ac:dyDescent="0.2">
      <c r="B83" s="66" t="s">
        <v>784</v>
      </c>
      <c r="C83" s="9" t="s">
        <v>195</v>
      </c>
      <c r="D83" s="280" t="s">
        <v>786</v>
      </c>
      <c r="E83" s="320" t="s">
        <v>136</v>
      </c>
      <c r="F83" s="321">
        <v>30</v>
      </c>
      <c r="G83" s="60"/>
      <c r="H83" s="61"/>
    </row>
    <row r="84" spans="2:8" x14ac:dyDescent="0.2">
      <c r="B84" s="66" t="s">
        <v>789</v>
      </c>
      <c r="C84" s="9" t="s">
        <v>195</v>
      </c>
      <c r="D84" s="280" t="s">
        <v>791</v>
      </c>
      <c r="E84" s="320" t="s">
        <v>793</v>
      </c>
      <c r="F84" s="321">
        <v>20</v>
      </c>
      <c r="G84" s="60"/>
      <c r="H84" s="61"/>
    </row>
    <row r="85" spans="2:8" ht="14" x14ac:dyDescent="0.2">
      <c r="B85" s="66" t="s">
        <v>790</v>
      </c>
      <c r="C85" s="9" t="s">
        <v>195</v>
      </c>
      <c r="D85" s="280" t="s">
        <v>792</v>
      </c>
      <c r="E85" s="324" t="s">
        <v>794</v>
      </c>
      <c r="F85" s="321">
        <v>15</v>
      </c>
      <c r="G85" s="60"/>
      <c r="H85" s="61"/>
    </row>
    <row r="86" spans="2:8" x14ac:dyDescent="0.2">
      <c r="B86" s="66" t="s">
        <v>281</v>
      </c>
      <c r="C86" s="9" t="s">
        <v>195</v>
      </c>
      <c r="D86" s="60" t="s">
        <v>509</v>
      </c>
      <c r="E86" s="4" t="s">
        <v>138</v>
      </c>
      <c r="F86" s="76">
        <v>20</v>
      </c>
      <c r="G86" s="60"/>
      <c r="H86" s="61"/>
    </row>
    <row r="87" spans="2:8" x14ac:dyDescent="0.2">
      <c r="B87" s="66" t="s">
        <v>282</v>
      </c>
      <c r="C87" s="9" t="s">
        <v>195</v>
      </c>
      <c r="D87" s="60" t="s">
        <v>510</v>
      </c>
      <c r="E87" s="4" t="s">
        <v>139</v>
      </c>
      <c r="F87" s="76">
        <v>15</v>
      </c>
      <c r="G87" s="60"/>
      <c r="H87" s="61"/>
    </row>
    <row r="88" spans="2:8" x14ac:dyDescent="0.2">
      <c r="B88" s="66" t="s">
        <v>283</v>
      </c>
      <c r="C88" s="9" t="s">
        <v>195</v>
      </c>
      <c r="D88" s="60" t="s">
        <v>511</v>
      </c>
      <c r="E88" s="4" t="s">
        <v>140</v>
      </c>
      <c r="F88" s="76">
        <v>10</v>
      </c>
      <c r="G88" s="60"/>
      <c r="H88" s="61"/>
    </row>
    <row r="89" spans="2:8" x14ac:dyDescent="0.2">
      <c r="B89" s="66" t="s">
        <v>284</v>
      </c>
      <c r="C89" s="9" t="s">
        <v>195</v>
      </c>
      <c r="D89" s="60" t="s">
        <v>512</v>
      </c>
      <c r="E89" s="4" t="s">
        <v>257</v>
      </c>
      <c r="F89" s="76">
        <v>20</v>
      </c>
      <c r="G89" s="60"/>
      <c r="H89" s="61"/>
    </row>
    <row r="90" spans="2:8" x14ac:dyDescent="0.2">
      <c r="B90" s="66" t="s">
        <v>284</v>
      </c>
      <c r="C90" s="9" t="s">
        <v>198</v>
      </c>
      <c r="D90" s="60" t="s">
        <v>513</v>
      </c>
      <c r="E90" s="4" t="s">
        <v>136</v>
      </c>
      <c r="F90" s="76">
        <v>15</v>
      </c>
      <c r="G90" s="60"/>
      <c r="H90" s="61"/>
    </row>
    <row r="91" spans="2:8" x14ac:dyDescent="0.2">
      <c r="B91" s="66" t="s">
        <v>284</v>
      </c>
      <c r="C91" s="9" t="s">
        <v>204</v>
      </c>
      <c r="D91" s="60" t="s">
        <v>514</v>
      </c>
      <c r="E91" s="4" t="s">
        <v>285</v>
      </c>
      <c r="F91" s="76">
        <v>10</v>
      </c>
      <c r="G91" s="60"/>
      <c r="H91" s="61"/>
    </row>
    <row r="92" spans="2:8" x14ac:dyDescent="0.2">
      <c r="B92" s="66" t="s">
        <v>286</v>
      </c>
      <c r="C92" s="9" t="s">
        <v>195</v>
      </c>
      <c r="D92" s="60" t="s">
        <v>515</v>
      </c>
      <c r="E92" s="4" t="s">
        <v>257</v>
      </c>
      <c r="F92" s="76">
        <v>10</v>
      </c>
      <c r="G92" s="60"/>
      <c r="H92" s="61"/>
    </row>
    <row r="93" spans="2:8" x14ac:dyDescent="0.2">
      <c r="B93" s="66" t="s">
        <v>286</v>
      </c>
      <c r="C93" s="9" t="s">
        <v>198</v>
      </c>
      <c r="D93" s="60" t="s">
        <v>516</v>
      </c>
      <c r="E93" s="4" t="s">
        <v>136</v>
      </c>
      <c r="F93" s="76">
        <v>6</v>
      </c>
      <c r="G93" s="60"/>
      <c r="H93" s="61"/>
    </row>
    <row r="94" spans="2:8" x14ac:dyDescent="0.2">
      <c r="B94" s="66" t="s">
        <v>286</v>
      </c>
      <c r="C94" s="9" t="s">
        <v>204</v>
      </c>
      <c r="D94" s="60" t="s">
        <v>517</v>
      </c>
      <c r="E94" s="4" t="s">
        <v>285</v>
      </c>
      <c r="F94" s="76">
        <v>3</v>
      </c>
      <c r="G94" s="60"/>
      <c r="H94" s="61"/>
    </row>
    <row r="95" spans="2:8" x14ac:dyDescent="0.2">
      <c r="B95" s="66" t="s">
        <v>287</v>
      </c>
      <c r="C95" s="9" t="s">
        <v>195</v>
      </c>
      <c r="D95" s="60" t="s">
        <v>518</v>
      </c>
      <c r="E95" s="4" t="s">
        <v>257</v>
      </c>
      <c r="F95" s="76">
        <v>6</v>
      </c>
      <c r="G95" s="60"/>
      <c r="H95" s="61"/>
    </row>
    <row r="96" spans="2:8" x14ac:dyDescent="0.2">
      <c r="B96" s="66" t="s">
        <v>287</v>
      </c>
      <c r="C96" s="9" t="s">
        <v>198</v>
      </c>
      <c r="D96" s="60" t="s">
        <v>519</v>
      </c>
      <c r="E96" s="4" t="s">
        <v>136</v>
      </c>
      <c r="F96" s="76">
        <v>4</v>
      </c>
      <c r="G96" s="60"/>
      <c r="H96" s="61"/>
    </row>
    <row r="97" spans="2:8" x14ac:dyDescent="0.2">
      <c r="B97" s="66" t="s">
        <v>287</v>
      </c>
      <c r="C97" s="9" t="s">
        <v>204</v>
      </c>
      <c r="D97" s="60" t="s">
        <v>520</v>
      </c>
      <c r="E97" s="4" t="s">
        <v>285</v>
      </c>
      <c r="F97" s="76">
        <v>2</v>
      </c>
      <c r="G97" s="60"/>
      <c r="H97" s="61"/>
    </row>
    <row r="98" spans="2:8" x14ac:dyDescent="0.2">
      <c r="B98" s="66" t="s">
        <v>288</v>
      </c>
      <c r="C98" s="9" t="s">
        <v>195</v>
      </c>
      <c r="D98" s="60" t="s">
        <v>521</v>
      </c>
      <c r="E98" s="4" t="s">
        <v>257</v>
      </c>
      <c r="F98" s="76">
        <v>20</v>
      </c>
    </row>
    <row r="99" spans="2:8" x14ac:dyDescent="0.2">
      <c r="B99" s="66" t="s">
        <v>288</v>
      </c>
      <c r="C99" s="9" t="s">
        <v>198</v>
      </c>
      <c r="D99" s="60" t="s">
        <v>522</v>
      </c>
      <c r="E99" s="4" t="s">
        <v>136</v>
      </c>
      <c r="F99" s="76">
        <v>15</v>
      </c>
    </row>
    <row r="100" spans="2:8" x14ac:dyDescent="0.2">
      <c r="B100" s="66" t="s">
        <v>288</v>
      </c>
      <c r="C100" s="9" t="s">
        <v>204</v>
      </c>
      <c r="D100" s="60" t="s">
        <v>523</v>
      </c>
      <c r="E100" s="4" t="s">
        <v>285</v>
      </c>
      <c r="F100" s="76">
        <v>10</v>
      </c>
    </row>
    <row r="101" spans="2:8" x14ac:dyDescent="0.2">
      <c r="B101" s="66" t="s">
        <v>289</v>
      </c>
      <c r="C101" s="9" t="s">
        <v>195</v>
      </c>
      <c r="D101" s="60" t="s">
        <v>524</v>
      </c>
      <c r="E101" s="4" t="s">
        <v>257</v>
      </c>
      <c r="F101" s="76">
        <v>20</v>
      </c>
    </row>
    <row r="102" spans="2:8" x14ac:dyDescent="0.2">
      <c r="B102" s="66" t="s">
        <v>289</v>
      </c>
      <c r="C102" s="9" t="s">
        <v>198</v>
      </c>
      <c r="D102" s="60" t="s">
        <v>525</v>
      </c>
      <c r="E102" s="4" t="s">
        <v>136</v>
      </c>
      <c r="F102" s="76">
        <v>15</v>
      </c>
    </row>
    <row r="103" spans="2:8" x14ac:dyDescent="0.2">
      <c r="B103" s="66" t="s">
        <v>289</v>
      </c>
      <c r="C103" s="9" t="s">
        <v>204</v>
      </c>
      <c r="D103" s="60" t="s">
        <v>526</v>
      </c>
      <c r="E103" s="4" t="s">
        <v>285</v>
      </c>
      <c r="F103" s="76">
        <v>10</v>
      </c>
    </row>
    <row r="104" spans="2:8" x14ac:dyDescent="0.2">
      <c r="B104" s="66" t="s">
        <v>290</v>
      </c>
      <c r="C104" s="9" t="s">
        <v>195</v>
      </c>
      <c r="D104" s="60" t="s">
        <v>527</v>
      </c>
      <c r="E104" s="4" t="s">
        <v>257</v>
      </c>
      <c r="F104" s="76">
        <v>20</v>
      </c>
    </row>
    <row r="105" spans="2:8" x14ac:dyDescent="0.2">
      <c r="B105" s="66" t="s">
        <v>290</v>
      </c>
      <c r="C105" s="9" t="s">
        <v>198</v>
      </c>
      <c r="D105" s="60" t="s">
        <v>528</v>
      </c>
      <c r="E105" s="4" t="s">
        <v>136</v>
      </c>
      <c r="F105" s="76">
        <v>15</v>
      </c>
    </row>
    <row r="106" spans="2:8" x14ac:dyDescent="0.2">
      <c r="B106" s="70" t="s">
        <v>290</v>
      </c>
      <c r="C106" s="71" t="s">
        <v>204</v>
      </c>
      <c r="D106" s="62" t="s">
        <v>529</v>
      </c>
      <c r="E106" s="77" t="s">
        <v>285</v>
      </c>
      <c r="F106" s="78">
        <v>10</v>
      </c>
    </row>
  </sheetData>
  <dataValidations count="1">
    <dataValidation type="list" allowBlank="1" showInputMessage="1" showErrorMessage="1" sqref="B2:B11" xr:uid="{00000000-0002-0000-0300-000000000000}">
      <formula1>INDIRECT(III.)</formula1>
    </dataValidation>
  </dataValidations>
  <pageMargins left="0.7" right="0.7" top="0.75" bottom="0.75" header="0.3" footer="0.3"/>
  <pageSetup paperSize="150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G7"/>
  <sheetViews>
    <sheetView workbookViewId="0">
      <selection activeCell="H6" sqref="H6"/>
    </sheetView>
  </sheetViews>
  <sheetFormatPr baseColWidth="10" defaultColWidth="9.1640625" defaultRowHeight="15" x14ac:dyDescent="0.2"/>
  <cols>
    <col min="1" max="1" width="3.6640625" style="2" customWidth="1"/>
    <col min="2" max="2" width="36.6640625" style="1" customWidth="1"/>
    <col min="3" max="3" width="35.83203125" style="1" customWidth="1"/>
    <col min="4" max="4" width="3.5" style="1" customWidth="1"/>
    <col min="5" max="5" width="4.5" style="1" customWidth="1"/>
    <col min="6" max="7" width="46.33203125" style="1" customWidth="1"/>
    <col min="8" max="16384" width="9.1640625" style="1"/>
  </cols>
  <sheetData>
    <row r="1" spans="1:7" ht="24" x14ac:dyDescent="0.2">
      <c r="A1" s="410"/>
      <c r="B1" s="411" t="s">
        <v>844</v>
      </c>
    </row>
    <row r="3" spans="1:7" s="315" customFormat="1" ht="19.5" customHeight="1" x14ac:dyDescent="0.2">
      <c r="A3" s="413" t="s">
        <v>543</v>
      </c>
      <c r="B3" s="413" t="s">
        <v>849</v>
      </c>
      <c r="C3" s="413" t="s">
        <v>850</v>
      </c>
      <c r="E3" s="413" t="s">
        <v>543</v>
      </c>
      <c r="F3" s="413" t="s">
        <v>855</v>
      </c>
      <c r="G3" s="413" t="s">
        <v>850</v>
      </c>
    </row>
    <row r="4" spans="1:7" ht="32" x14ac:dyDescent="0.2">
      <c r="A4" s="88">
        <v>1</v>
      </c>
      <c r="B4" s="412" t="s">
        <v>845</v>
      </c>
      <c r="C4" s="412" t="s">
        <v>846</v>
      </c>
      <c r="E4" s="88">
        <v>1</v>
      </c>
      <c r="F4" s="412" t="s">
        <v>856</v>
      </c>
      <c r="G4" s="412"/>
    </row>
    <row r="5" spans="1:7" ht="64" x14ac:dyDescent="0.2">
      <c r="A5" s="88">
        <v>2</v>
      </c>
      <c r="B5" s="412" t="s">
        <v>847</v>
      </c>
      <c r="C5" s="412" t="s">
        <v>848</v>
      </c>
      <c r="E5" s="88">
        <v>2</v>
      </c>
      <c r="F5" s="412" t="s">
        <v>857</v>
      </c>
      <c r="G5" s="412"/>
    </row>
    <row r="6" spans="1:7" ht="96" x14ac:dyDescent="0.2">
      <c r="A6" s="88">
        <v>3</v>
      </c>
      <c r="B6" s="412" t="s">
        <v>852</v>
      </c>
      <c r="C6" s="412" t="s">
        <v>851</v>
      </c>
      <c r="E6" s="88">
        <v>3</v>
      </c>
      <c r="F6" s="412" t="s">
        <v>858</v>
      </c>
      <c r="G6" s="412"/>
    </row>
    <row r="7" spans="1:7" ht="48" x14ac:dyDescent="0.2">
      <c r="A7" s="88">
        <v>4</v>
      </c>
      <c r="B7" s="22" t="s">
        <v>854</v>
      </c>
      <c r="C7" s="412" t="s">
        <v>853</v>
      </c>
      <c r="E7" s="88"/>
      <c r="F7" s="22"/>
      <c r="G7" s="4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</sheetPr>
  <dimension ref="A1:E29"/>
  <sheetViews>
    <sheetView topLeftCell="A7" workbookViewId="0">
      <selection activeCell="C2" sqref="C2"/>
    </sheetView>
  </sheetViews>
  <sheetFormatPr baseColWidth="10" defaultColWidth="8.83203125" defaultRowHeight="18" customHeight="1" x14ac:dyDescent="0.2"/>
  <cols>
    <col min="1" max="1" width="9.1640625" style="379"/>
    <col min="2" max="2" width="33" style="379" customWidth="1"/>
    <col min="3" max="3" width="42" style="379" customWidth="1"/>
    <col min="4" max="4" width="64.6640625" style="379" customWidth="1"/>
    <col min="5" max="257" width="9.1640625" style="379"/>
    <col min="258" max="258" width="33" style="379" customWidth="1"/>
    <col min="259" max="259" width="42" style="379" customWidth="1"/>
    <col min="260" max="260" width="53.5" style="379" customWidth="1"/>
    <col min="261" max="513" width="9.1640625" style="379"/>
    <col min="514" max="514" width="33" style="379" customWidth="1"/>
    <col min="515" max="515" width="42" style="379" customWidth="1"/>
    <col min="516" max="516" width="53.5" style="379" customWidth="1"/>
    <col min="517" max="769" width="9.1640625" style="379"/>
    <col min="770" max="770" width="33" style="379" customWidth="1"/>
    <col min="771" max="771" width="42" style="379" customWidth="1"/>
    <col min="772" max="772" width="53.5" style="379" customWidth="1"/>
    <col min="773" max="1025" width="9.1640625" style="379"/>
    <col min="1026" max="1026" width="33" style="379" customWidth="1"/>
    <col min="1027" max="1027" width="42" style="379" customWidth="1"/>
    <col min="1028" max="1028" width="53.5" style="379" customWidth="1"/>
    <col min="1029" max="1281" width="9.1640625" style="379"/>
    <col min="1282" max="1282" width="33" style="379" customWidth="1"/>
    <col min="1283" max="1283" width="42" style="379" customWidth="1"/>
    <col min="1284" max="1284" width="53.5" style="379" customWidth="1"/>
    <col min="1285" max="1537" width="9.1640625" style="379"/>
    <col min="1538" max="1538" width="33" style="379" customWidth="1"/>
    <col min="1539" max="1539" width="42" style="379" customWidth="1"/>
    <col min="1540" max="1540" width="53.5" style="379" customWidth="1"/>
    <col min="1541" max="1793" width="9.1640625" style="379"/>
    <col min="1794" max="1794" width="33" style="379" customWidth="1"/>
    <col min="1795" max="1795" width="42" style="379" customWidth="1"/>
    <col min="1796" max="1796" width="53.5" style="379" customWidth="1"/>
    <col min="1797" max="2049" width="9.1640625" style="379"/>
    <col min="2050" max="2050" width="33" style="379" customWidth="1"/>
    <col min="2051" max="2051" width="42" style="379" customWidth="1"/>
    <col min="2052" max="2052" width="53.5" style="379" customWidth="1"/>
    <col min="2053" max="2305" width="9.1640625" style="379"/>
    <col min="2306" max="2306" width="33" style="379" customWidth="1"/>
    <col min="2307" max="2307" width="42" style="379" customWidth="1"/>
    <col min="2308" max="2308" width="53.5" style="379" customWidth="1"/>
    <col min="2309" max="2561" width="9.1640625" style="379"/>
    <col min="2562" max="2562" width="33" style="379" customWidth="1"/>
    <col min="2563" max="2563" width="42" style="379" customWidth="1"/>
    <col min="2564" max="2564" width="53.5" style="379" customWidth="1"/>
    <col min="2565" max="2817" width="9.1640625" style="379"/>
    <col min="2818" max="2818" width="33" style="379" customWidth="1"/>
    <col min="2819" max="2819" width="42" style="379" customWidth="1"/>
    <col min="2820" max="2820" width="53.5" style="379" customWidth="1"/>
    <col min="2821" max="3073" width="9.1640625" style="379"/>
    <col min="3074" max="3074" width="33" style="379" customWidth="1"/>
    <col min="3075" max="3075" width="42" style="379" customWidth="1"/>
    <col min="3076" max="3076" width="53.5" style="379" customWidth="1"/>
    <col min="3077" max="3329" width="9.1640625" style="379"/>
    <col min="3330" max="3330" width="33" style="379" customWidth="1"/>
    <col min="3331" max="3331" width="42" style="379" customWidth="1"/>
    <col min="3332" max="3332" width="53.5" style="379" customWidth="1"/>
    <col min="3333" max="3585" width="9.1640625" style="379"/>
    <col min="3586" max="3586" width="33" style="379" customWidth="1"/>
    <col min="3587" max="3587" width="42" style="379" customWidth="1"/>
    <col min="3588" max="3588" width="53.5" style="379" customWidth="1"/>
    <col min="3589" max="3841" width="9.1640625" style="379"/>
    <col min="3842" max="3842" width="33" style="379" customWidth="1"/>
    <col min="3843" max="3843" width="42" style="379" customWidth="1"/>
    <col min="3844" max="3844" width="53.5" style="379" customWidth="1"/>
    <col min="3845" max="4097" width="9.1640625" style="379"/>
    <col min="4098" max="4098" width="33" style="379" customWidth="1"/>
    <col min="4099" max="4099" width="42" style="379" customWidth="1"/>
    <col min="4100" max="4100" width="53.5" style="379" customWidth="1"/>
    <col min="4101" max="4353" width="9.1640625" style="379"/>
    <col min="4354" max="4354" width="33" style="379" customWidth="1"/>
    <col min="4355" max="4355" width="42" style="379" customWidth="1"/>
    <col min="4356" max="4356" width="53.5" style="379" customWidth="1"/>
    <col min="4357" max="4609" width="9.1640625" style="379"/>
    <col min="4610" max="4610" width="33" style="379" customWidth="1"/>
    <col min="4611" max="4611" width="42" style="379" customWidth="1"/>
    <col min="4612" max="4612" width="53.5" style="379" customWidth="1"/>
    <col min="4613" max="4865" width="9.1640625" style="379"/>
    <col min="4866" max="4866" width="33" style="379" customWidth="1"/>
    <col min="4867" max="4867" width="42" style="379" customWidth="1"/>
    <col min="4868" max="4868" width="53.5" style="379" customWidth="1"/>
    <col min="4869" max="5121" width="9.1640625" style="379"/>
    <col min="5122" max="5122" width="33" style="379" customWidth="1"/>
    <col min="5123" max="5123" width="42" style="379" customWidth="1"/>
    <col min="5124" max="5124" width="53.5" style="379" customWidth="1"/>
    <col min="5125" max="5377" width="9.1640625" style="379"/>
    <col min="5378" max="5378" width="33" style="379" customWidth="1"/>
    <col min="5379" max="5379" width="42" style="379" customWidth="1"/>
    <col min="5380" max="5380" width="53.5" style="379" customWidth="1"/>
    <col min="5381" max="5633" width="9.1640625" style="379"/>
    <col min="5634" max="5634" width="33" style="379" customWidth="1"/>
    <col min="5635" max="5635" width="42" style="379" customWidth="1"/>
    <col min="5636" max="5636" width="53.5" style="379" customWidth="1"/>
    <col min="5637" max="5889" width="9.1640625" style="379"/>
    <col min="5890" max="5890" width="33" style="379" customWidth="1"/>
    <col min="5891" max="5891" width="42" style="379" customWidth="1"/>
    <col min="5892" max="5892" width="53.5" style="379" customWidth="1"/>
    <col min="5893" max="6145" width="9.1640625" style="379"/>
    <col min="6146" max="6146" width="33" style="379" customWidth="1"/>
    <col min="6147" max="6147" width="42" style="379" customWidth="1"/>
    <col min="6148" max="6148" width="53.5" style="379" customWidth="1"/>
    <col min="6149" max="6401" width="9.1640625" style="379"/>
    <col min="6402" max="6402" width="33" style="379" customWidth="1"/>
    <col min="6403" max="6403" width="42" style="379" customWidth="1"/>
    <col min="6404" max="6404" width="53.5" style="379" customWidth="1"/>
    <col min="6405" max="6657" width="9.1640625" style="379"/>
    <col min="6658" max="6658" width="33" style="379" customWidth="1"/>
    <col min="6659" max="6659" width="42" style="379" customWidth="1"/>
    <col min="6660" max="6660" width="53.5" style="379" customWidth="1"/>
    <col min="6661" max="6913" width="9.1640625" style="379"/>
    <col min="6914" max="6914" width="33" style="379" customWidth="1"/>
    <col min="6915" max="6915" width="42" style="379" customWidth="1"/>
    <col min="6916" max="6916" width="53.5" style="379" customWidth="1"/>
    <col min="6917" max="7169" width="9.1640625" style="379"/>
    <col min="7170" max="7170" width="33" style="379" customWidth="1"/>
    <col min="7171" max="7171" width="42" style="379" customWidth="1"/>
    <col min="7172" max="7172" width="53.5" style="379" customWidth="1"/>
    <col min="7173" max="7425" width="9.1640625" style="379"/>
    <col min="7426" max="7426" width="33" style="379" customWidth="1"/>
    <col min="7427" max="7427" width="42" style="379" customWidth="1"/>
    <col min="7428" max="7428" width="53.5" style="379" customWidth="1"/>
    <col min="7429" max="7681" width="9.1640625" style="379"/>
    <col min="7682" max="7682" width="33" style="379" customWidth="1"/>
    <col min="7683" max="7683" width="42" style="379" customWidth="1"/>
    <col min="7684" max="7684" width="53.5" style="379" customWidth="1"/>
    <col min="7685" max="7937" width="9.1640625" style="379"/>
    <col min="7938" max="7938" width="33" style="379" customWidth="1"/>
    <col min="7939" max="7939" width="42" style="379" customWidth="1"/>
    <col min="7940" max="7940" width="53.5" style="379" customWidth="1"/>
    <col min="7941" max="8193" width="9.1640625" style="379"/>
    <col min="8194" max="8194" width="33" style="379" customWidth="1"/>
    <col min="8195" max="8195" width="42" style="379" customWidth="1"/>
    <col min="8196" max="8196" width="53.5" style="379" customWidth="1"/>
    <col min="8197" max="8449" width="9.1640625" style="379"/>
    <col min="8450" max="8450" width="33" style="379" customWidth="1"/>
    <col min="8451" max="8451" width="42" style="379" customWidth="1"/>
    <col min="8452" max="8452" width="53.5" style="379" customWidth="1"/>
    <col min="8453" max="8705" width="9.1640625" style="379"/>
    <col min="8706" max="8706" width="33" style="379" customWidth="1"/>
    <col min="8707" max="8707" width="42" style="379" customWidth="1"/>
    <col min="8708" max="8708" width="53.5" style="379" customWidth="1"/>
    <col min="8709" max="8961" width="9.1640625" style="379"/>
    <col min="8962" max="8962" width="33" style="379" customWidth="1"/>
    <col min="8963" max="8963" width="42" style="379" customWidth="1"/>
    <col min="8964" max="8964" width="53.5" style="379" customWidth="1"/>
    <col min="8965" max="9217" width="9.1640625" style="379"/>
    <col min="9218" max="9218" width="33" style="379" customWidth="1"/>
    <col min="9219" max="9219" width="42" style="379" customWidth="1"/>
    <col min="9220" max="9220" width="53.5" style="379" customWidth="1"/>
    <col min="9221" max="9473" width="9.1640625" style="379"/>
    <col min="9474" max="9474" width="33" style="379" customWidth="1"/>
    <col min="9475" max="9475" width="42" style="379" customWidth="1"/>
    <col min="9476" max="9476" width="53.5" style="379" customWidth="1"/>
    <col min="9477" max="9729" width="9.1640625" style="379"/>
    <col min="9730" max="9730" width="33" style="379" customWidth="1"/>
    <col min="9731" max="9731" width="42" style="379" customWidth="1"/>
    <col min="9732" max="9732" width="53.5" style="379" customWidth="1"/>
    <col min="9733" max="9985" width="9.1640625" style="379"/>
    <col min="9986" max="9986" width="33" style="379" customWidth="1"/>
    <col min="9987" max="9987" width="42" style="379" customWidth="1"/>
    <col min="9988" max="9988" width="53.5" style="379" customWidth="1"/>
    <col min="9989" max="10241" width="9.1640625" style="379"/>
    <col min="10242" max="10242" width="33" style="379" customWidth="1"/>
    <col min="10243" max="10243" width="42" style="379" customWidth="1"/>
    <col min="10244" max="10244" width="53.5" style="379" customWidth="1"/>
    <col min="10245" max="10497" width="9.1640625" style="379"/>
    <col min="10498" max="10498" width="33" style="379" customWidth="1"/>
    <col min="10499" max="10499" width="42" style="379" customWidth="1"/>
    <col min="10500" max="10500" width="53.5" style="379" customWidth="1"/>
    <col min="10501" max="10753" width="9.1640625" style="379"/>
    <col min="10754" max="10754" width="33" style="379" customWidth="1"/>
    <col min="10755" max="10755" width="42" style="379" customWidth="1"/>
    <col min="10756" max="10756" width="53.5" style="379" customWidth="1"/>
    <col min="10757" max="11009" width="9.1640625" style="379"/>
    <col min="11010" max="11010" width="33" style="379" customWidth="1"/>
    <col min="11011" max="11011" width="42" style="379" customWidth="1"/>
    <col min="11012" max="11012" width="53.5" style="379" customWidth="1"/>
    <col min="11013" max="11265" width="9.1640625" style="379"/>
    <col min="11266" max="11266" width="33" style="379" customWidth="1"/>
    <col min="11267" max="11267" width="42" style="379" customWidth="1"/>
    <col min="11268" max="11268" width="53.5" style="379" customWidth="1"/>
    <col min="11269" max="11521" width="9.1640625" style="379"/>
    <col min="11522" max="11522" width="33" style="379" customWidth="1"/>
    <col min="11523" max="11523" width="42" style="379" customWidth="1"/>
    <col min="11524" max="11524" width="53.5" style="379" customWidth="1"/>
    <col min="11525" max="11777" width="9.1640625" style="379"/>
    <col min="11778" max="11778" width="33" style="379" customWidth="1"/>
    <col min="11779" max="11779" width="42" style="379" customWidth="1"/>
    <col min="11780" max="11780" width="53.5" style="379" customWidth="1"/>
    <col min="11781" max="12033" width="9.1640625" style="379"/>
    <col min="12034" max="12034" width="33" style="379" customWidth="1"/>
    <col min="12035" max="12035" width="42" style="379" customWidth="1"/>
    <col min="12036" max="12036" width="53.5" style="379" customWidth="1"/>
    <col min="12037" max="12289" width="9.1640625" style="379"/>
    <col min="12290" max="12290" width="33" style="379" customWidth="1"/>
    <col min="12291" max="12291" width="42" style="379" customWidth="1"/>
    <col min="12292" max="12292" width="53.5" style="379" customWidth="1"/>
    <col min="12293" max="12545" width="9.1640625" style="379"/>
    <col min="12546" max="12546" width="33" style="379" customWidth="1"/>
    <col min="12547" max="12547" width="42" style="379" customWidth="1"/>
    <col min="12548" max="12548" width="53.5" style="379" customWidth="1"/>
    <col min="12549" max="12801" width="9.1640625" style="379"/>
    <col min="12802" max="12802" width="33" style="379" customWidth="1"/>
    <col min="12803" max="12803" width="42" style="379" customWidth="1"/>
    <col min="12804" max="12804" width="53.5" style="379" customWidth="1"/>
    <col min="12805" max="13057" width="9.1640625" style="379"/>
    <col min="13058" max="13058" width="33" style="379" customWidth="1"/>
    <col min="13059" max="13059" width="42" style="379" customWidth="1"/>
    <col min="13060" max="13060" width="53.5" style="379" customWidth="1"/>
    <col min="13061" max="13313" width="9.1640625" style="379"/>
    <col min="13314" max="13314" width="33" style="379" customWidth="1"/>
    <col min="13315" max="13315" width="42" style="379" customWidth="1"/>
    <col min="13316" max="13316" width="53.5" style="379" customWidth="1"/>
    <col min="13317" max="13569" width="9.1640625" style="379"/>
    <col min="13570" max="13570" width="33" style="379" customWidth="1"/>
    <col min="13571" max="13571" width="42" style="379" customWidth="1"/>
    <col min="13572" max="13572" width="53.5" style="379" customWidth="1"/>
    <col min="13573" max="13825" width="9.1640625" style="379"/>
    <col min="13826" max="13826" width="33" style="379" customWidth="1"/>
    <col min="13827" max="13827" width="42" style="379" customWidth="1"/>
    <col min="13828" max="13828" width="53.5" style="379" customWidth="1"/>
    <col min="13829" max="14081" width="9.1640625" style="379"/>
    <col min="14082" max="14082" width="33" style="379" customWidth="1"/>
    <col min="14083" max="14083" width="42" style="379" customWidth="1"/>
    <col min="14084" max="14084" width="53.5" style="379" customWidth="1"/>
    <col min="14085" max="14337" width="9.1640625" style="379"/>
    <col min="14338" max="14338" width="33" style="379" customWidth="1"/>
    <col min="14339" max="14339" width="42" style="379" customWidth="1"/>
    <col min="14340" max="14340" width="53.5" style="379" customWidth="1"/>
    <col min="14341" max="14593" width="9.1640625" style="379"/>
    <col min="14594" max="14594" width="33" style="379" customWidth="1"/>
    <col min="14595" max="14595" width="42" style="379" customWidth="1"/>
    <col min="14596" max="14596" width="53.5" style="379" customWidth="1"/>
    <col min="14597" max="14849" width="9.1640625" style="379"/>
    <col min="14850" max="14850" width="33" style="379" customWidth="1"/>
    <col min="14851" max="14851" width="42" style="379" customWidth="1"/>
    <col min="14852" max="14852" width="53.5" style="379" customWidth="1"/>
    <col min="14853" max="15105" width="9.1640625" style="379"/>
    <col min="15106" max="15106" width="33" style="379" customWidth="1"/>
    <col min="15107" max="15107" width="42" style="379" customWidth="1"/>
    <col min="15108" max="15108" width="53.5" style="379" customWidth="1"/>
    <col min="15109" max="15361" width="9.1640625" style="379"/>
    <col min="15362" max="15362" width="33" style="379" customWidth="1"/>
    <col min="15363" max="15363" width="42" style="379" customWidth="1"/>
    <col min="15364" max="15364" width="53.5" style="379" customWidth="1"/>
    <col min="15365" max="15617" width="9.1640625" style="379"/>
    <col min="15618" max="15618" width="33" style="379" customWidth="1"/>
    <col min="15619" max="15619" width="42" style="379" customWidth="1"/>
    <col min="15620" max="15620" width="53.5" style="379" customWidth="1"/>
    <col min="15621" max="15873" width="9.1640625" style="379"/>
    <col min="15874" max="15874" width="33" style="379" customWidth="1"/>
    <col min="15875" max="15875" width="42" style="379" customWidth="1"/>
    <col min="15876" max="15876" width="53.5" style="379" customWidth="1"/>
    <col min="15877" max="16129" width="9.1640625" style="379"/>
    <col min="16130" max="16130" width="33" style="379" customWidth="1"/>
    <col min="16131" max="16131" width="42" style="379" customWidth="1"/>
    <col min="16132" max="16132" width="53.5" style="379" customWidth="1"/>
    <col min="16133" max="16384" width="9.1640625" style="379"/>
  </cols>
  <sheetData>
    <row r="1" spans="1:5" s="391" customFormat="1" ht="3.75" customHeight="1" thickBot="1" x14ac:dyDescent="0.25">
      <c r="B1" s="392"/>
      <c r="C1" s="392"/>
      <c r="D1" s="393"/>
    </row>
    <row r="2" spans="1:5" ht="18" customHeight="1" x14ac:dyDescent="0.2">
      <c r="A2" s="447" t="s">
        <v>863</v>
      </c>
      <c r="B2" s="380" t="s">
        <v>478</v>
      </c>
      <c r="C2" s="381" t="s">
        <v>875</v>
      </c>
      <c r="D2" s="394" t="s">
        <v>807</v>
      </c>
    </row>
    <row r="3" spans="1:5" ht="18" customHeight="1" x14ac:dyDescent="0.2">
      <c r="A3" s="448"/>
      <c r="B3" s="414" t="s">
        <v>865</v>
      </c>
      <c r="C3" s="383" t="s">
        <v>876</v>
      </c>
      <c r="D3" s="394" t="s">
        <v>808</v>
      </c>
    </row>
    <row r="4" spans="1:5" ht="18" customHeight="1" x14ac:dyDescent="0.2">
      <c r="A4" s="448"/>
      <c r="B4" s="382" t="s">
        <v>633</v>
      </c>
      <c r="C4" s="384" t="s">
        <v>878</v>
      </c>
      <c r="D4" s="394" t="s">
        <v>835</v>
      </c>
    </row>
    <row r="5" spans="1:5" ht="18" customHeight="1" x14ac:dyDescent="0.2">
      <c r="A5" s="448"/>
      <c r="B5" s="385" t="s">
        <v>0</v>
      </c>
      <c r="C5" s="384" t="s">
        <v>2</v>
      </c>
      <c r="D5" s="394" t="s">
        <v>836</v>
      </c>
    </row>
    <row r="6" spans="1:5" ht="18" customHeight="1" x14ac:dyDescent="0.2">
      <c r="A6" s="448"/>
      <c r="B6" s="385" t="s">
        <v>6</v>
      </c>
      <c r="C6" s="384" t="s">
        <v>7</v>
      </c>
      <c r="D6" s="394" t="s">
        <v>837</v>
      </c>
    </row>
    <row r="7" spans="1:5" ht="18" customHeight="1" x14ac:dyDescent="0.2">
      <c r="A7" s="448"/>
      <c r="B7" s="382" t="s">
        <v>577</v>
      </c>
      <c r="C7" s="384" t="s">
        <v>877</v>
      </c>
      <c r="D7" s="394" t="s">
        <v>874</v>
      </c>
    </row>
    <row r="8" spans="1:5" ht="18" customHeight="1" thickBot="1" x14ac:dyDescent="0.25">
      <c r="A8" s="449"/>
      <c r="B8" s="386" t="s">
        <v>800</v>
      </c>
      <c r="C8" s="387" t="s">
        <v>801</v>
      </c>
      <c r="D8" s="409" t="str">
        <f>IF(__pns_kedudukan="Aktif","pengisian dilakukan pada lembar kerja II.A. s.d. V.J.",IF(__pns_kedudukan="Tugas Belajar","pengisian dilakukan pada lembar kerja TUBEL_PENGISIAN","dikecualikan dari membuat Penilaian Prestasi Kerja PNS"))</f>
        <v>pengisian dilakukan pada lembar kerja II.A. s.d. V.J.</v>
      </c>
      <c r="E8" s="406"/>
    </row>
    <row r="9" spans="1:5" ht="3.75" customHeight="1" thickBot="1" x14ac:dyDescent="0.25">
      <c r="B9" s="388"/>
      <c r="C9" s="388"/>
      <c r="D9" s="389"/>
    </row>
    <row r="10" spans="1:5" ht="18" customHeight="1" x14ac:dyDescent="0.2">
      <c r="A10" s="447" t="s">
        <v>805</v>
      </c>
      <c r="B10" s="369" t="s">
        <v>478</v>
      </c>
      <c r="C10" s="374" t="s">
        <v>879</v>
      </c>
      <c r="D10" s="389"/>
    </row>
    <row r="11" spans="1:5" ht="18" customHeight="1" x14ac:dyDescent="0.2">
      <c r="A11" s="448"/>
      <c r="B11" s="370" t="s">
        <v>859</v>
      </c>
      <c r="C11" s="375" t="s">
        <v>880</v>
      </c>
      <c r="D11" s="389"/>
    </row>
    <row r="12" spans="1:5" ht="18" customHeight="1" x14ac:dyDescent="0.2">
      <c r="A12" s="448"/>
      <c r="B12" s="370" t="s">
        <v>633</v>
      </c>
      <c r="C12" s="376" t="s">
        <v>881</v>
      </c>
      <c r="D12" s="389"/>
    </row>
    <row r="13" spans="1:5" ht="18" customHeight="1" x14ac:dyDescent="0.2">
      <c r="A13" s="448"/>
      <c r="B13" s="371" t="s">
        <v>0</v>
      </c>
      <c r="C13" s="376" t="s">
        <v>882</v>
      </c>
      <c r="D13" s="389"/>
    </row>
    <row r="14" spans="1:5" ht="18" customHeight="1" thickBot="1" x14ac:dyDescent="0.25">
      <c r="A14" s="449"/>
      <c r="B14" s="372" t="s">
        <v>577</v>
      </c>
      <c r="C14" s="377" t="s">
        <v>883</v>
      </c>
      <c r="D14" s="389"/>
    </row>
    <row r="15" spans="1:5" ht="3.75" customHeight="1" thickBot="1" x14ac:dyDescent="0.25">
      <c r="B15" s="365"/>
      <c r="C15" s="378"/>
      <c r="D15" s="389"/>
    </row>
    <row r="16" spans="1:5" ht="18" customHeight="1" x14ac:dyDescent="0.2">
      <c r="A16" s="447" t="s">
        <v>806</v>
      </c>
      <c r="B16" s="369" t="s">
        <v>478</v>
      </c>
      <c r="C16" s="375" t="s">
        <v>884</v>
      </c>
      <c r="D16" s="389"/>
    </row>
    <row r="17" spans="1:4" ht="18" customHeight="1" x14ac:dyDescent="0.2">
      <c r="A17" s="448"/>
      <c r="B17" s="370" t="s">
        <v>859</v>
      </c>
      <c r="C17" s="375" t="s">
        <v>885</v>
      </c>
      <c r="D17" s="389"/>
    </row>
    <row r="18" spans="1:4" ht="18" customHeight="1" x14ac:dyDescent="0.2">
      <c r="A18" s="448"/>
      <c r="B18" s="370" t="s">
        <v>633</v>
      </c>
      <c r="C18" s="375" t="s">
        <v>887</v>
      </c>
      <c r="D18" s="389"/>
    </row>
    <row r="19" spans="1:4" ht="18" customHeight="1" x14ac:dyDescent="0.2">
      <c r="A19" s="448"/>
      <c r="B19" s="371" t="s">
        <v>0</v>
      </c>
      <c r="C19" s="375" t="s">
        <v>886</v>
      </c>
      <c r="D19" s="389"/>
    </row>
    <row r="20" spans="1:4" ht="18" customHeight="1" thickBot="1" x14ac:dyDescent="0.25">
      <c r="A20" s="449"/>
      <c r="B20" s="372" t="s">
        <v>577</v>
      </c>
      <c r="C20" s="377" t="s">
        <v>883</v>
      </c>
      <c r="D20" s="389"/>
    </row>
    <row r="21" spans="1:4" ht="3.75" customHeight="1" thickBot="1" x14ac:dyDescent="0.25">
      <c r="B21" s="390"/>
      <c r="C21" s="388"/>
      <c r="D21" s="389"/>
    </row>
    <row r="22" spans="1:4" ht="18" customHeight="1" x14ac:dyDescent="0.2">
      <c r="A22" s="450" t="s">
        <v>804</v>
      </c>
      <c r="B22" s="367" t="s">
        <v>718</v>
      </c>
      <c r="C22" s="368" t="s">
        <v>713</v>
      </c>
      <c r="D22" s="415" t="s">
        <v>870</v>
      </c>
    </row>
    <row r="23" spans="1:4" ht="18" customHeight="1" x14ac:dyDescent="0.2">
      <c r="A23" s="451"/>
      <c r="B23" s="453" t="s">
        <v>719</v>
      </c>
      <c r="C23" s="366" t="s">
        <v>713</v>
      </c>
      <c r="D23" s="416" t="s">
        <v>868</v>
      </c>
    </row>
    <row r="24" spans="1:4" ht="18" customHeight="1" x14ac:dyDescent="0.2">
      <c r="A24" s="451"/>
      <c r="B24" s="453"/>
      <c r="C24" s="366" t="s">
        <v>714</v>
      </c>
      <c r="D24" s="417" t="s">
        <v>871</v>
      </c>
    </row>
    <row r="25" spans="1:4" ht="18" customHeight="1" x14ac:dyDescent="0.2">
      <c r="A25" s="451"/>
      <c r="B25" s="453" t="s">
        <v>720</v>
      </c>
      <c r="C25" s="446" t="s">
        <v>715</v>
      </c>
      <c r="D25" s="417" t="s">
        <v>702</v>
      </c>
    </row>
    <row r="26" spans="1:4" ht="18" customHeight="1" x14ac:dyDescent="0.2">
      <c r="A26" s="451"/>
      <c r="B26" s="453"/>
      <c r="C26" s="446"/>
      <c r="D26" s="417" t="s">
        <v>860</v>
      </c>
    </row>
    <row r="27" spans="1:4" ht="18" customHeight="1" x14ac:dyDescent="0.2">
      <c r="A27" s="451"/>
      <c r="B27" s="453"/>
      <c r="C27" s="366" t="s">
        <v>716</v>
      </c>
      <c r="D27" s="418" t="s">
        <v>872</v>
      </c>
    </row>
    <row r="28" spans="1:4" ht="18" customHeight="1" x14ac:dyDescent="0.2">
      <c r="A28" s="451"/>
      <c r="B28" s="453"/>
      <c r="C28" s="366" t="s">
        <v>864</v>
      </c>
      <c r="D28" s="418" t="s">
        <v>873</v>
      </c>
    </row>
    <row r="29" spans="1:4" ht="18" customHeight="1" thickBot="1" x14ac:dyDescent="0.25">
      <c r="A29" s="452"/>
      <c r="B29" s="454"/>
      <c r="C29" s="373" t="s">
        <v>717</v>
      </c>
      <c r="D29" s="419" t="s">
        <v>869</v>
      </c>
    </row>
  </sheetData>
  <mergeCells count="7">
    <mergeCell ref="C25:C26"/>
    <mergeCell ref="A2:A8"/>
    <mergeCell ref="A10:A14"/>
    <mergeCell ref="A16:A20"/>
    <mergeCell ref="A22:A29"/>
    <mergeCell ref="B23:B24"/>
    <mergeCell ref="B25:B29"/>
  </mergeCells>
  <dataValidations count="4">
    <dataValidation type="list" allowBlank="1" showInputMessage="1" showErrorMessage="1" sqref="C4" xr:uid="{00000000-0002-0000-0500-000000000000}">
      <formula1>TabutKepangkatanIsi</formula1>
    </dataValidation>
    <dataValidation type="list" allowBlank="1" showInputMessage="1" showErrorMessage="1" sqref="C5" xr:uid="{00000000-0002-0000-0500-000001000000}">
      <formula1>TabutJabatanIsi</formula1>
    </dataValidation>
    <dataValidation type="list" allowBlank="1" showInputMessage="1" showErrorMessage="1" sqref="C6" xr:uid="{00000000-0002-0000-0500-000002000000}">
      <formula1>TabutPendidikanIsi</formula1>
    </dataValidation>
    <dataValidation type="list" allowBlank="1" showInputMessage="1" showErrorMessage="1" sqref="C8" xr:uid="{00000000-0002-0000-0500-000003000000}">
      <formula1>TabutKedudukanIsi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/>
  </sheetPr>
  <dimension ref="A1:L33"/>
  <sheetViews>
    <sheetView tabSelected="1" topLeftCell="A4" workbookViewId="0">
      <selection activeCell="B17" sqref="B17:I17"/>
    </sheetView>
  </sheetViews>
  <sheetFormatPr baseColWidth="10" defaultColWidth="9.1640625" defaultRowHeight="14" x14ac:dyDescent="0.2"/>
  <cols>
    <col min="1" max="1" width="0.83203125" style="121" customWidth="1"/>
    <col min="2" max="2" width="6.6640625" style="121" customWidth="1"/>
    <col min="3" max="3" width="73.5" style="121" customWidth="1"/>
    <col min="4" max="5" width="6.6640625" style="121" customWidth="1"/>
    <col min="6" max="6" width="11.6640625" style="121" customWidth="1"/>
    <col min="7" max="7" width="7.5" style="121" bestFit="1" customWidth="1"/>
    <col min="8" max="8" width="6.6640625" style="121" customWidth="1"/>
    <col min="9" max="10" width="11.6640625" style="121" customWidth="1"/>
    <col min="11" max="11" width="9.1640625" style="121"/>
    <col min="12" max="12" width="10.1640625" style="121" bestFit="1" customWidth="1"/>
    <col min="13" max="16384" width="9.1640625" style="121"/>
  </cols>
  <sheetData>
    <row r="1" spans="1:12" x14ac:dyDescent="0.2">
      <c r="A1" s="120"/>
      <c r="B1" s="207" t="s">
        <v>572</v>
      </c>
      <c r="C1" s="207"/>
      <c r="D1" s="207"/>
      <c r="E1" s="207"/>
      <c r="F1" s="207"/>
      <c r="G1" s="207"/>
      <c r="H1" s="207"/>
      <c r="I1" s="208"/>
      <c r="J1" s="208"/>
    </row>
    <row r="2" spans="1:12" x14ac:dyDescent="0.2">
      <c r="A2" s="120"/>
      <c r="B2" s="207" t="s">
        <v>862</v>
      </c>
      <c r="C2" s="207"/>
      <c r="D2" s="207"/>
      <c r="E2" s="207"/>
      <c r="F2" s="207"/>
      <c r="G2" s="207"/>
      <c r="H2" s="207"/>
      <c r="I2" s="208"/>
      <c r="J2" s="208"/>
    </row>
    <row r="4" spans="1:12" ht="18" customHeight="1" x14ac:dyDescent="0.2">
      <c r="B4" s="152" t="s">
        <v>573</v>
      </c>
      <c r="C4" s="148" t="s">
        <v>574</v>
      </c>
      <c r="D4" s="152" t="s">
        <v>573</v>
      </c>
      <c r="E4" s="457" t="s">
        <v>575</v>
      </c>
      <c r="F4" s="458"/>
      <c r="G4" s="458"/>
      <c r="H4" s="458"/>
      <c r="I4" s="458"/>
      <c r="J4" s="459"/>
    </row>
    <row r="5" spans="1:12" ht="18" customHeight="1" x14ac:dyDescent="0.2">
      <c r="B5" s="152">
        <v>1</v>
      </c>
      <c r="C5" s="153" t="str">
        <f>CONCATENATE(E5,REPT(" ",38),__penilai_nama)</f>
        <v>Nama                                      Ari Eko Wardoyo, S.T., M.Kom.</v>
      </c>
      <c r="D5" s="152">
        <v>1</v>
      </c>
      <c r="E5" s="457" t="s">
        <v>478</v>
      </c>
      <c r="F5" s="459"/>
      <c r="G5" s="457" t="str">
        <f>__pns_nama</f>
        <v>Rosita Yanuarti, S.Kom., M.Cs</v>
      </c>
      <c r="H5" s="458"/>
      <c r="I5" s="458"/>
      <c r="J5" s="459"/>
      <c r="L5" s="206"/>
    </row>
    <row r="6" spans="1:12" ht="18" customHeight="1" x14ac:dyDescent="0.2">
      <c r="B6" s="152">
        <v>2</v>
      </c>
      <c r="C6" s="153" t="str">
        <f>CONCATENATE(E6,REPT(" ",41),__penilai_nip)</f>
        <v>NIP                                         197502142005011001</v>
      </c>
      <c r="D6" s="152">
        <v>2</v>
      </c>
      <c r="E6" s="457" t="s">
        <v>576</v>
      </c>
      <c r="F6" s="459"/>
      <c r="G6" s="457" t="str">
        <f>IF(RIGHT(__pns_nip,1)&lt;&gt;"0",__pns_nip,"NIP Salah, tuliskan NIP sesuai ketentuan")</f>
        <v>1986012911509632</v>
      </c>
      <c r="H6" s="458"/>
      <c r="I6" s="458"/>
      <c r="J6" s="459"/>
    </row>
    <row r="7" spans="1:12" ht="18" customHeight="1" x14ac:dyDescent="0.2">
      <c r="B7" s="152">
        <v>3</v>
      </c>
      <c r="C7" s="153" t="str">
        <f>CONCATENATE(E7,REPT(" ",16),__penilai_pangkat)</f>
        <v>Pangkat, Gol.Ruang                Penata Muda Tk I/III/b</v>
      </c>
      <c r="D7" s="152">
        <v>3</v>
      </c>
      <c r="E7" s="457" t="s">
        <v>708</v>
      </c>
      <c r="F7" s="459"/>
      <c r="G7" s="457" t="str">
        <f>__pns_pangkat</f>
        <v>Penata Muda Tingkat I , III/b</v>
      </c>
      <c r="H7" s="458"/>
      <c r="I7" s="458"/>
      <c r="J7" s="459"/>
    </row>
    <row r="8" spans="1:12" ht="18" customHeight="1" x14ac:dyDescent="0.2">
      <c r="B8" s="152">
        <v>4</v>
      </c>
      <c r="C8" s="153" t="str">
        <f>CONCATENATE(E8,REPT(" ",36),__penilai_jabatan)</f>
        <v>Jabatan                                    Ketua Program Studi</v>
      </c>
      <c r="D8" s="152">
        <v>4</v>
      </c>
      <c r="E8" s="457" t="s">
        <v>0</v>
      </c>
      <c r="F8" s="459"/>
      <c r="G8" s="457" t="str">
        <f>__pns_jabatan</f>
        <v>Asisten Ahli</v>
      </c>
      <c r="H8" s="458"/>
      <c r="I8" s="458"/>
      <c r="J8" s="459"/>
    </row>
    <row r="9" spans="1:12" ht="34.5" customHeight="1" x14ac:dyDescent="0.2">
      <c r="B9" s="152">
        <v>5</v>
      </c>
      <c r="C9" s="153" t="str">
        <f>CONCATENATE(E9,REPT(" ",31),__penilai_unit)</f>
        <v>Unit Kerja                               FAKULTAS TEKNIK</v>
      </c>
      <c r="D9" s="152">
        <v>5</v>
      </c>
      <c r="E9" s="457" t="s">
        <v>577</v>
      </c>
      <c r="F9" s="459"/>
      <c r="G9" s="460" t="str">
        <f>CONCATENATE("Universitas Muhammadiyah Jember Pada",CHAR(10),__pns_unit)</f>
        <v>Universitas Muhammadiyah Jember Pada
Teknik Informatika</v>
      </c>
      <c r="H9" s="461"/>
      <c r="I9" s="461"/>
      <c r="J9" s="462"/>
    </row>
    <row r="10" spans="1:12" ht="18" customHeight="1" x14ac:dyDescent="0.2">
      <c r="B10" s="455" t="s">
        <v>573</v>
      </c>
      <c r="C10" s="455" t="s">
        <v>578</v>
      </c>
      <c r="D10" s="455" t="s">
        <v>579</v>
      </c>
      <c r="E10" s="465" t="s">
        <v>580</v>
      </c>
      <c r="F10" s="466"/>
      <c r="G10" s="466"/>
      <c r="H10" s="466"/>
      <c r="I10" s="466"/>
      <c r="J10" s="464"/>
    </row>
    <row r="11" spans="1:12" ht="33.75" customHeight="1" x14ac:dyDescent="0.2">
      <c r="B11" s="456"/>
      <c r="C11" s="456"/>
      <c r="D11" s="456"/>
      <c r="E11" s="463" t="s">
        <v>709</v>
      </c>
      <c r="F11" s="464"/>
      <c r="G11" s="151" t="s">
        <v>664</v>
      </c>
      <c r="H11" s="465" t="s">
        <v>581</v>
      </c>
      <c r="I11" s="464"/>
      <c r="J11" s="152" t="s">
        <v>582</v>
      </c>
    </row>
    <row r="12" spans="1:12" hidden="1" x14ac:dyDescent="0.2">
      <c r="B12" s="123" t="s">
        <v>571</v>
      </c>
      <c r="C12" s="123" t="s">
        <v>560</v>
      </c>
      <c r="D12" s="123" t="s">
        <v>407</v>
      </c>
      <c r="E12" s="123" t="s">
        <v>583</v>
      </c>
      <c r="F12" s="123" t="s">
        <v>585</v>
      </c>
      <c r="G12" s="123" t="s">
        <v>584</v>
      </c>
      <c r="H12" s="123" t="s">
        <v>586</v>
      </c>
      <c r="I12" s="123" t="s">
        <v>587</v>
      </c>
      <c r="J12" s="124" t="s">
        <v>588</v>
      </c>
    </row>
    <row r="13" spans="1:12" ht="15" hidden="1" x14ac:dyDescent="0.2">
      <c r="B13" s="342">
        <f>ROW(SKP_formulir[[#This Row],[No]])-13</f>
        <v>0</v>
      </c>
      <c r="C13" s="343"/>
      <c r="D13" s="342">
        <f>IFERROR(INDEX(Tabur[1TTK],MATCH(SKP_formulir[[#This Row],[Uraian]],Tabur[Uraian],0),0),0)</f>
        <v>0</v>
      </c>
      <c r="E13" s="344">
        <f>IFERROR(INDEX(Tabur[1TTJ],MATCH(SKP_formulir[[#This Row],[Uraian]],Tabur[Uraian],0),0),0)</f>
        <v>0</v>
      </c>
      <c r="F13" s="345" t="str">
        <f>IFERROR(INDEX(Tabur[Satuan],MATCH(SKP_formulir[[#This Row],[Uraian]],Tabur[Uraian],0),0),"")</f>
        <v/>
      </c>
      <c r="G13" s="346">
        <f>IFERROR(INDEX(Tabur[Kualitas],MATCH(SKP_formulir[[#This Row],[Uraian]],Tabur[Uraian],0),0),0)</f>
        <v>0</v>
      </c>
      <c r="H13" s="347">
        <f>IFERROR(INDEX(Tabur[Durasi],MATCH(SKP_formulir[[#This Row],[Uraian]],Tabur[Uraian],0),0),0)</f>
        <v>0</v>
      </c>
      <c r="I13" s="348" t="str">
        <f>IFERROR(INDEX(Tabur[DurasiSat],MATCH(SKP_formulir[[#This Row],[Uraian]],Tabur[Uraian],0),0),"")</f>
        <v/>
      </c>
      <c r="J13" s="346" t="str">
        <f>IFERROR(INDEX(Tabur[Biaya],MATCH(SKP_formulir[[#This Row],[Uraian]],Tabur[Uraian],0),0),"-")</f>
        <v>-</v>
      </c>
    </row>
    <row r="14" spans="1:12" ht="15" x14ac:dyDescent="0.2">
      <c r="B14" s="360">
        <f>ROW(SKP_formulir[[#This Row],[No]])-13</f>
        <v>1</v>
      </c>
      <c r="C14" s="337" t="s">
        <v>558</v>
      </c>
      <c r="D14" s="338">
        <f>IFERROR(INDEX(Tabur[1TTK],MATCH(SKP_formulir[[#This Row],[Uraian]],Tabur[Uraian],0),0),0)</f>
        <v>11</v>
      </c>
      <c r="E14" s="339">
        <f>IFERROR(INDEX(Tabur[1TTJ],MATCH(SKP_formulir[[#This Row],[Uraian]],Tabur[Uraian],0),0),0)</f>
        <v>27</v>
      </c>
      <c r="F14" s="340" t="str">
        <f>IFERROR(INDEX(Tabur[Satuan],MATCH(SKP_formulir[[#This Row],[Uraian]],Tabur[Uraian],0),0),"")</f>
        <v>sks</v>
      </c>
      <c r="G14" s="339">
        <f>IFERROR(INDEX(Tabur[Kualitas],MATCH(SKP_formulir[[#This Row],[Uraian]],Tabur[Uraian],0),0),0)</f>
        <v>100</v>
      </c>
      <c r="H14" s="339">
        <f>IFERROR(INDEX(Tabur[Durasi],MATCH(SKP_formulir[[#This Row],[Uraian]],Tabur[Uraian],0),0),0)</f>
        <v>12</v>
      </c>
      <c r="I14" s="341" t="str">
        <f>IFERROR(INDEX(Tabur[DurasiSat],MATCH(SKP_formulir[[#This Row],[Uraian]],Tabur[Uraian],0),0),"")</f>
        <v>bulan</v>
      </c>
      <c r="J14" s="339" t="str">
        <f>IFERROR(INDEX(Tabur[Biaya],MATCH(SKP_formulir[[#This Row],[Uraian]],Tabur[Uraian],0),0),"-")</f>
        <v>-</v>
      </c>
    </row>
    <row r="15" spans="1:12" ht="15" x14ac:dyDescent="0.2">
      <c r="B15" s="423">
        <f>ROW(SKP_formulir[[#This Row],[No]])-13</f>
        <v>2</v>
      </c>
      <c r="C15" s="424" t="s">
        <v>26</v>
      </c>
      <c r="D15" s="425">
        <f>IFERROR(INDEX(Tabur[1TTK],MATCH(SKP_formulir[[#This Row],[Uraian]],Tabur[Uraian],0),0),0)</f>
        <v>1</v>
      </c>
      <c r="E15" s="426">
        <f>IFERROR(INDEX(Tabur[1TTJ],MATCH(SKP_formulir[[#This Row],[Uraian]],Tabur[Uraian],0),0),0)</f>
        <v>4</v>
      </c>
      <c r="F15" s="427" t="str">
        <f>IFERROR(INDEX(Tabur[Satuan],MATCH(SKP_formulir[[#This Row],[Uraian]],Tabur[Uraian],0),0),"")</f>
        <v>kegiatan</v>
      </c>
      <c r="G15" s="426">
        <f>IFERROR(INDEX(Tabur[Kualitas],MATCH(SKP_formulir[[#This Row],[Uraian]],Tabur[Uraian],0),0),0)</f>
        <v>100</v>
      </c>
      <c r="H15" s="426">
        <f>IFERROR(INDEX(Tabur[Durasi],MATCH(SKP_formulir[[#This Row],[Uraian]],Tabur[Uraian],0),0),0)</f>
        <v>6</v>
      </c>
      <c r="I15" s="428" t="str">
        <f>IFERROR(INDEX(Tabur[DurasiSat],MATCH(SKP_formulir[[#This Row],[Uraian]],Tabur[Uraian],0),0),"")</f>
        <v>bulan</v>
      </c>
      <c r="J15" s="426" t="str">
        <f>IFERROR(INDEX(Tabur[Biaya],MATCH(SKP_formulir[[#This Row],[Uraian]],Tabur[Uraian],0),0),"-")</f>
        <v>-</v>
      </c>
    </row>
    <row r="16" spans="1:12" ht="30" x14ac:dyDescent="0.2">
      <c r="B16" s="423">
        <f>ROW(SKP_formulir[[#This Row],[No]])-13</f>
        <v>3</v>
      </c>
      <c r="C16" s="424" t="s">
        <v>562</v>
      </c>
      <c r="D16" s="425">
        <f>IFERROR(INDEX(Tabur[1TTK],MATCH(SKP_formulir[[#This Row],[Uraian]],Tabur[Uraian],0),0),0)</f>
        <v>2</v>
      </c>
      <c r="E16" s="426">
        <f>IFERROR(INDEX(Tabur[1TTJ],MATCH(SKP_formulir[[#This Row],[Uraian]],Tabur[Uraian],0),0),0)</f>
        <v>3</v>
      </c>
      <c r="F16" s="427" t="str">
        <f>IFERROR(INDEX(Tabur[Satuan],MATCH(SKP_formulir[[#This Row],[Uraian]],Tabur[Uraian],0),0),"")</f>
        <v>kegiatan</v>
      </c>
      <c r="G16" s="426">
        <f>IFERROR(INDEX(Tabur[Kualitas],MATCH(SKP_formulir[[#This Row],[Uraian]],Tabur[Uraian],0),0),0)</f>
        <v>100</v>
      </c>
      <c r="H16" s="426">
        <f>IFERROR(INDEX(Tabur[Durasi],MATCH(SKP_formulir[[#This Row],[Uraian]],Tabur[Uraian],0),0),0)</f>
        <v>12</v>
      </c>
      <c r="I16" s="428" t="str">
        <f>IFERROR(INDEX(Tabur[DurasiSat],MATCH(SKP_formulir[[#This Row],[Uraian]],Tabur[Uraian],0),0),"")</f>
        <v>bulan</v>
      </c>
      <c r="J16" s="426" t="str">
        <f>IFERROR(INDEX(Tabur[Biaya],MATCH(SKP_formulir[[#This Row],[Uraian]],Tabur[Uraian],0),0),"-")</f>
        <v>-</v>
      </c>
    </row>
    <row r="17" spans="2:10" ht="15" x14ac:dyDescent="0.2">
      <c r="B17" s="423">
        <f>ROW(SKP_formulir[[#This Row],[No]])-13</f>
        <v>4</v>
      </c>
      <c r="C17" s="424" t="s">
        <v>30</v>
      </c>
      <c r="D17" s="425">
        <f>IFERROR(INDEX(Tabur[1TTK],MATCH(SKP_formulir[[#This Row],[Uraian]],Tabur[Uraian],0),0),0)</f>
        <v>2</v>
      </c>
      <c r="E17" s="426">
        <f>IFERROR(INDEX(Tabur[1TTJ],MATCH(SKP_formulir[[#This Row],[Uraian]],Tabur[Uraian],0),0),0)</f>
        <v>2</v>
      </c>
      <c r="F17" s="427" t="str">
        <f>IFERROR(INDEX(Tabur[Satuan],MATCH(SKP_formulir[[#This Row],[Uraian]],Tabur[Uraian],0),0),"")</f>
        <v>lulusan</v>
      </c>
      <c r="G17" s="426">
        <f>IFERROR(INDEX(Tabur[Kualitas],MATCH(SKP_formulir[[#This Row],[Uraian]],Tabur[Uraian],0),0),0)</f>
        <v>100</v>
      </c>
      <c r="H17" s="426">
        <f>IFERROR(INDEX(Tabur[Durasi],MATCH(SKP_formulir[[#This Row],[Uraian]],Tabur[Uraian],0),0),0)</f>
        <v>6</v>
      </c>
      <c r="I17" s="428" t="str">
        <f>IFERROR(INDEX(Tabur[DurasiSat],MATCH(SKP_formulir[[#This Row],[Uraian]],Tabur[Uraian],0),0),"")</f>
        <v>bulan</v>
      </c>
      <c r="J17" s="426" t="str">
        <f>IFERROR(INDEX(Tabur[Biaya],MATCH(SKP_formulir[[#This Row],[Uraian]],Tabur[Uraian],0),0),"-")</f>
        <v>-</v>
      </c>
    </row>
    <row r="18" spans="2:10" ht="15" x14ac:dyDescent="0.2">
      <c r="B18" s="423">
        <f>ROW(SKP_formulir[[#This Row],[No]])-13</f>
        <v>5</v>
      </c>
      <c r="C18" s="424" t="s">
        <v>47</v>
      </c>
      <c r="D18" s="425">
        <f>IFERROR(INDEX(Tabur[1TTK],MATCH(SKP_formulir[[#This Row],[Uraian]],Tabur[Uraian],0),0),0)</f>
        <v>30</v>
      </c>
      <c r="E18" s="426">
        <f>IFERROR(INDEX(Tabur[1TTJ],MATCH(SKP_formulir[[#This Row],[Uraian]],Tabur[Uraian],0),0),0)</f>
        <v>2</v>
      </c>
      <c r="F18" s="427" t="str">
        <f>IFERROR(INDEX(Tabur[Satuan],MATCH(SKP_formulir[[#This Row],[Uraian]],Tabur[Uraian],0),0),"")</f>
        <v>produk</v>
      </c>
      <c r="G18" s="426">
        <f>IFERROR(INDEX(Tabur[Kualitas],MATCH(SKP_formulir[[#This Row],[Uraian]],Tabur[Uraian],0),0),0)</f>
        <v>100</v>
      </c>
      <c r="H18" s="426">
        <f>IFERROR(INDEX(Tabur[Durasi],MATCH(SKP_formulir[[#This Row],[Uraian]],Tabur[Uraian],0),0),0)</f>
        <v>6</v>
      </c>
      <c r="I18" s="428" t="str">
        <f>IFERROR(INDEX(Tabur[DurasiSat],MATCH(SKP_formulir[[#This Row],[Uraian]],Tabur[Uraian],0),0),"")</f>
        <v>bulan</v>
      </c>
      <c r="J18" s="426" t="str">
        <f>IFERROR(INDEX(Tabur[Biaya],MATCH(SKP_formulir[[#This Row],[Uraian]],Tabur[Uraian],0),0),"-")</f>
        <v>-</v>
      </c>
    </row>
    <row r="19" spans="2:10" ht="30" x14ac:dyDescent="0.2">
      <c r="B19" s="423">
        <f>ROW(SKP_formulir[[#This Row],[No]])-13</f>
        <v>6</v>
      </c>
      <c r="C19" s="424" t="s">
        <v>49</v>
      </c>
      <c r="D19" s="425">
        <f>IFERROR(INDEX(Tabur[1TTK],MATCH(SKP_formulir[[#This Row],[Uraian]],Tabur[Uraian],0),0),0)</f>
        <v>2</v>
      </c>
      <c r="E19" s="426">
        <f>IFERROR(INDEX(Tabur[1TTJ],MATCH(SKP_formulir[[#This Row],[Uraian]],Tabur[Uraian],0),0),0)</f>
        <v>1</v>
      </c>
      <c r="F19" s="427" t="str">
        <f>IFERROR(INDEX(Tabur[Satuan],MATCH(SKP_formulir[[#This Row],[Uraian]],Tabur[Uraian],0),0),"")</f>
        <v>produk</v>
      </c>
      <c r="G19" s="426">
        <f>IFERROR(INDEX(Tabur[Kualitas],MATCH(SKP_formulir[[#This Row],[Uraian]],Tabur[Uraian],0),0),0)</f>
        <v>100</v>
      </c>
      <c r="H19" s="426">
        <f>IFERROR(INDEX(Tabur[Durasi],MATCH(SKP_formulir[[#This Row],[Uraian]],Tabur[Uraian],0),0),0)</f>
        <v>6</v>
      </c>
      <c r="I19" s="428" t="str">
        <f>IFERROR(INDEX(Tabur[DurasiSat],MATCH(SKP_formulir[[#This Row],[Uraian]],Tabur[Uraian],0),0),"")</f>
        <v>bulan</v>
      </c>
      <c r="J19" s="426" t="str">
        <f>IFERROR(INDEX(Tabur[Biaya],MATCH(SKP_formulir[[#This Row],[Uraian]],Tabur[Uraian],0),0),"-")</f>
        <v>-</v>
      </c>
    </row>
    <row r="20" spans="2:10" ht="30" x14ac:dyDescent="0.2">
      <c r="B20" s="423">
        <f>ROW(SKP_formulir[[#This Row],[No]])-13</f>
        <v>7</v>
      </c>
      <c r="C20" s="424" t="s">
        <v>52</v>
      </c>
      <c r="D20" s="425">
        <f>IFERROR(INDEX(Tabur[1TTK],MATCH(SKP_formulir[[#This Row],[Uraian]],Tabur[Uraian],0),0),0)</f>
        <v>15</v>
      </c>
      <c r="E20" s="426">
        <f>IFERROR(INDEX(Tabur[1TTJ],MATCH(SKP_formulir[[#This Row],[Uraian]],Tabur[Uraian],0),0),0)</f>
        <v>1</v>
      </c>
      <c r="F20" s="427" t="str">
        <f>IFERROR(INDEX(Tabur[Satuan],MATCH(SKP_formulir[[#This Row],[Uraian]],Tabur[Uraian],0),0),"")</f>
        <v>produk</v>
      </c>
      <c r="G20" s="426">
        <f>IFERROR(INDEX(Tabur[Kualitas],MATCH(SKP_formulir[[#This Row],[Uraian]],Tabur[Uraian],0),0),0)</f>
        <v>100</v>
      </c>
      <c r="H20" s="426">
        <f>IFERROR(INDEX(Tabur[Durasi],MATCH(SKP_formulir[[#This Row],[Uraian]],Tabur[Uraian],0),0),0)</f>
        <v>6</v>
      </c>
      <c r="I20" s="428" t="str">
        <f>IFERROR(INDEX(Tabur[DurasiSat],MATCH(SKP_formulir[[#This Row],[Uraian]],Tabur[Uraian],0),0),"")</f>
        <v>bulan</v>
      </c>
      <c r="J20" s="426" t="str">
        <f>IFERROR(INDEX(Tabur[Biaya],MATCH(SKP_formulir[[#This Row],[Uraian]],Tabur[Uraian],0),0),"-")</f>
        <v>-</v>
      </c>
    </row>
    <row r="21" spans="2:10" ht="30" x14ac:dyDescent="0.2">
      <c r="B21" s="423">
        <f>ROW(SKP_formulir[[#This Row],[No]])-13</f>
        <v>8</v>
      </c>
      <c r="C21" s="424" t="s">
        <v>57</v>
      </c>
      <c r="D21" s="425">
        <f>IFERROR(INDEX(Tabur[1TTK],MATCH(SKP_formulir[[#This Row],[Uraian]],Tabur[Uraian],0),0),0)</f>
        <v>3</v>
      </c>
      <c r="E21" s="426">
        <f>IFERROR(INDEX(Tabur[1TTJ],MATCH(SKP_formulir[[#This Row],[Uraian]],Tabur[Uraian],0),0),0)</f>
        <v>1</v>
      </c>
      <c r="F21" s="427" t="str">
        <f>IFERROR(INDEX(Tabur[Satuan],MATCH(SKP_formulir[[#This Row],[Uraian]],Tabur[Uraian],0),0),"")</f>
        <v>kegiatan</v>
      </c>
      <c r="G21" s="426">
        <f>IFERROR(INDEX(Tabur[Kualitas],MATCH(SKP_formulir[[#This Row],[Uraian]],Tabur[Uraian],0),0),0)</f>
        <v>100</v>
      </c>
      <c r="H21" s="426">
        <f>IFERROR(INDEX(Tabur[Durasi],MATCH(SKP_formulir[[#This Row],[Uraian]],Tabur[Uraian],0),0),0)</f>
        <v>6</v>
      </c>
      <c r="I21" s="428" t="str">
        <f>IFERROR(INDEX(Tabur[DurasiSat],MATCH(SKP_formulir[[#This Row],[Uraian]],Tabur[Uraian],0),0),"")</f>
        <v>bulan</v>
      </c>
      <c r="J21" s="426" t="str">
        <f>IFERROR(INDEX(Tabur[Biaya],MATCH(SKP_formulir[[#This Row],[Uraian]],Tabur[Uraian],0),0),"-")</f>
        <v>-</v>
      </c>
    </row>
    <row r="22" spans="2:10" ht="45" x14ac:dyDescent="0.2">
      <c r="B22" s="423">
        <f>ROW(SKP_formulir[[#This Row],[No]])-13</f>
        <v>9</v>
      </c>
      <c r="C22" s="424" t="s">
        <v>796</v>
      </c>
      <c r="D22" s="425">
        <f>IFERROR(INDEX(Tabur[1TTK],MATCH(SKP_formulir[[#This Row],[Uraian]],Tabur[Uraian],0),0),0)</f>
        <v>5</v>
      </c>
      <c r="E22" s="426">
        <f>IFERROR(INDEX(Tabur[1TTJ],MATCH(SKP_formulir[[#This Row],[Uraian]],Tabur[Uraian],0),0),0)</f>
        <v>1</v>
      </c>
      <c r="F22" s="427" t="str">
        <f>IFERROR(INDEX(Tabur[Satuan],MATCH(SKP_formulir[[#This Row],[Uraian]],Tabur[Uraian],0),0),"")</f>
        <v>produk</v>
      </c>
      <c r="G22" s="426">
        <f>IFERROR(INDEX(Tabur[Kualitas],MATCH(SKP_formulir[[#This Row],[Uraian]],Tabur[Uraian],0),0),0)</f>
        <v>100</v>
      </c>
      <c r="H22" s="426">
        <f>IFERROR(INDEX(Tabur[Durasi],MATCH(SKP_formulir[[#This Row],[Uraian]],Tabur[Uraian],0),0),0)</f>
        <v>6</v>
      </c>
      <c r="I22" s="428" t="str">
        <f>IFERROR(INDEX(Tabur[DurasiSat],MATCH(SKP_formulir[[#This Row],[Uraian]],Tabur[Uraian],0),0),"")</f>
        <v>bulan</v>
      </c>
      <c r="J22" s="426" t="str">
        <f>IFERROR(INDEX(Tabur[Biaya],MATCH(SKP_formulir[[#This Row],[Uraian]],Tabur[Uraian],0),0),"-")</f>
        <v>-</v>
      </c>
    </row>
    <row r="23" spans="2:10" ht="15" x14ac:dyDescent="0.2">
      <c r="B23" s="423">
        <f>ROW(SKP_formulir[[#This Row],[No]])-13</f>
        <v>10</v>
      </c>
      <c r="C23" s="424" t="s">
        <v>66</v>
      </c>
      <c r="D23" s="425">
        <f>IFERROR(INDEX(Tabur[1TTK],MATCH(SKP_formulir[[#This Row],[Uraian]],Tabur[Uraian],0),0),0)</f>
        <v>0.5</v>
      </c>
      <c r="E23" s="426">
        <f>IFERROR(INDEX(Tabur[1TTJ],MATCH(SKP_formulir[[#This Row],[Uraian]],Tabur[Uraian],0),0),0)</f>
        <v>1</v>
      </c>
      <c r="F23" s="427" t="str">
        <f>IFERROR(INDEX(Tabur[Satuan],MATCH(SKP_formulir[[#This Row],[Uraian]],Tabur[Uraian],0),0),"")</f>
        <v>Jurnal</v>
      </c>
      <c r="G23" s="426">
        <f>IFERROR(INDEX(Tabur[Kualitas],MATCH(SKP_formulir[[#This Row],[Uraian]],Tabur[Uraian],0),0),0)</f>
        <v>100</v>
      </c>
      <c r="H23" s="426">
        <f>IFERROR(INDEX(Tabur[Durasi],MATCH(SKP_formulir[[#This Row],[Uraian]],Tabur[Uraian],0),0),0)</f>
        <v>12</v>
      </c>
      <c r="I23" s="428" t="str">
        <f>IFERROR(INDEX(Tabur[DurasiSat],MATCH(SKP_formulir[[#This Row],[Uraian]],Tabur[Uraian],0),0),"")</f>
        <v>bulan</v>
      </c>
      <c r="J23" s="426" t="str">
        <f>IFERROR(INDEX(Tabur[Biaya],MATCH(SKP_formulir[[#This Row],[Uraian]],Tabur[Uraian],0),0),"-")</f>
        <v>-</v>
      </c>
    </row>
    <row r="24" spans="2:10" ht="15" x14ac:dyDescent="0.2">
      <c r="B24" s="423">
        <f>ROW(SKP_formulir[[#This Row],[No]])-13</f>
        <v>11</v>
      </c>
      <c r="C24" s="424" t="s">
        <v>61</v>
      </c>
      <c r="D24" s="425">
        <f>IFERROR(INDEX(Tabur[1TTK],MATCH(SKP_formulir[[#This Row],[Uraian]],Tabur[Uraian],0),0),0)</f>
        <v>2</v>
      </c>
      <c r="E24" s="426">
        <f>IFERROR(INDEX(Tabur[1TTJ],MATCH(SKP_formulir[[#This Row],[Uraian]],Tabur[Uraian],0),0),0)</f>
        <v>1</v>
      </c>
      <c r="F24" s="427" t="str">
        <f>IFERROR(INDEX(Tabur[Satuan],MATCH(SKP_formulir[[#This Row],[Uraian]],Tabur[Uraian],0),0),"")</f>
        <v>kegiatan</v>
      </c>
      <c r="G24" s="426">
        <f>IFERROR(INDEX(Tabur[Kualitas],MATCH(SKP_formulir[[#This Row],[Uraian]],Tabur[Uraian],0),0),0)</f>
        <v>100</v>
      </c>
      <c r="H24" s="426">
        <f>IFERROR(INDEX(Tabur[Durasi],MATCH(SKP_formulir[[#This Row],[Uraian]],Tabur[Uraian],0),0),0)</f>
        <v>6</v>
      </c>
      <c r="I24" s="428" t="str">
        <f>IFERROR(INDEX(Tabur[DurasiSat],MATCH(SKP_formulir[[#This Row],[Uraian]],Tabur[Uraian],0),0),"")</f>
        <v>bulan</v>
      </c>
      <c r="J24" s="426" t="str">
        <f>IFERROR(INDEX(Tabur[Biaya],MATCH(SKP_formulir[[#This Row],[Uraian]],Tabur[Uraian],0),0),"-")</f>
        <v>-</v>
      </c>
    </row>
    <row r="25" spans="2:10" x14ac:dyDescent="0.2">
      <c r="B25" s="361"/>
      <c r="C25" s="150" t="s">
        <v>711</v>
      </c>
      <c r="D25" s="213">
        <f>SUM(SKP_formulir[Ak])</f>
        <v>73.5</v>
      </c>
      <c r="E25" s="149"/>
      <c r="F25" s="149"/>
      <c r="G25" s="149"/>
      <c r="H25" s="149"/>
      <c r="I25" s="149"/>
      <c r="J25" s="211"/>
    </row>
    <row r="26" spans="2:10" x14ac:dyDescent="0.2">
      <c r="B26" s="212"/>
      <c r="C26" s="212"/>
      <c r="D26" s="214"/>
      <c r="E26" s="212"/>
      <c r="F26" s="212"/>
      <c r="G26" s="212"/>
      <c r="H26" s="212"/>
      <c r="I26" s="212"/>
      <c r="J26" s="212"/>
    </row>
    <row r="27" spans="2:10" x14ac:dyDescent="0.2">
      <c r="F27" s="121" t="str">
        <f>CONCATENATE("Jember, ",__identitas_tgl_skp)</f>
        <v>Jember, 2 Januari 2023</v>
      </c>
    </row>
    <row r="28" spans="2:10" x14ac:dyDescent="0.2">
      <c r="C28" s="210" t="s">
        <v>710</v>
      </c>
      <c r="F28" s="121" t="s">
        <v>861</v>
      </c>
    </row>
    <row r="29" spans="2:10" x14ac:dyDescent="0.2">
      <c r="C29" s="210"/>
    </row>
    <row r="30" spans="2:10" x14ac:dyDescent="0.2">
      <c r="C30" s="210"/>
    </row>
    <row r="31" spans="2:10" x14ac:dyDescent="0.2">
      <c r="C31" s="210"/>
    </row>
    <row r="32" spans="2:10" x14ac:dyDescent="0.2">
      <c r="C32" s="210" t="str">
        <f>__penilai_nama</f>
        <v>Ari Eko Wardoyo, S.T., M.Kom.</v>
      </c>
      <c r="F32" s="121" t="str">
        <f>__pns_nama</f>
        <v>Rosita Yanuarti, S.Kom., M.Cs</v>
      </c>
    </row>
    <row r="33" spans="3:6" x14ac:dyDescent="0.2">
      <c r="C33" s="210" t="str">
        <f>CONCATENATE("NIP/NPK ",__penilai_nip)</f>
        <v>NIP/NPK 197502142005011001</v>
      </c>
      <c r="F33" s="121" t="str">
        <f>CONCATENATE("NIP/NPK ",__pns_nip)</f>
        <v>NIP/NPK 1986012911509632</v>
      </c>
    </row>
  </sheetData>
  <mergeCells count="17">
    <mergeCell ref="E4:J4"/>
    <mergeCell ref="E10:J10"/>
    <mergeCell ref="E5:F5"/>
    <mergeCell ref="E6:F6"/>
    <mergeCell ref="E7:F7"/>
    <mergeCell ref="E8:F8"/>
    <mergeCell ref="E9:F9"/>
    <mergeCell ref="G5:J5"/>
    <mergeCell ref="G6:J6"/>
    <mergeCell ref="G7:J7"/>
    <mergeCell ref="B10:B11"/>
    <mergeCell ref="C10:C11"/>
    <mergeCell ref="D10:D11"/>
    <mergeCell ref="G8:J8"/>
    <mergeCell ref="G9:J9"/>
    <mergeCell ref="E11:F11"/>
    <mergeCell ref="H11:I11"/>
  </mergeCells>
  <dataValidations count="1">
    <dataValidation type="list" allowBlank="1" showInputMessage="1" showErrorMessage="1" sqref="C13:C24" xr:uid="{00000000-0002-0000-0600-000000000000}">
      <formula1>TaburUraian</formula1>
    </dataValidation>
  </dataValidations>
  <pageMargins left="0.7" right="0.7" top="0.75" bottom="0.75" header="0.3" footer="0.3"/>
  <pageSetup paperSize="9" scale="80" orientation="landscape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/>
    <pageSetUpPr fitToPage="1"/>
  </sheetPr>
  <dimension ref="A1:AF38"/>
  <sheetViews>
    <sheetView tabSelected="1" workbookViewId="0">
      <selection activeCell="B17" sqref="B17:I17"/>
    </sheetView>
  </sheetViews>
  <sheetFormatPr baseColWidth="10" defaultColWidth="9.1640625" defaultRowHeight="14" x14ac:dyDescent="0.2"/>
  <cols>
    <col min="1" max="1" width="0.83203125" style="121" customWidth="1"/>
    <col min="2" max="2" width="5.6640625" style="121" customWidth="1"/>
    <col min="3" max="3" width="35.6640625" style="121" customWidth="1"/>
    <col min="4" max="5" width="5.6640625" style="121" customWidth="1"/>
    <col min="6" max="7" width="7.6640625" style="121" customWidth="1"/>
    <col min="8" max="8" width="3.6640625" style="121" customWidth="1"/>
    <col min="9" max="9" width="6" style="121" customWidth="1"/>
    <col min="10" max="10" width="8.6640625" style="121" customWidth="1"/>
    <col min="11" max="12" width="5.6640625" style="121" customWidth="1"/>
    <col min="13" max="14" width="7.6640625" style="121" customWidth="1"/>
    <col min="15" max="15" width="3.6640625" style="121" customWidth="1"/>
    <col min="16" max="16" width="6" style="121" customWidth="1"/>
    <col min="17" max="17" width="8.6640625" style="121" customWidth="1"/>
    <col min="18" max="20" width="9.1640625" style="121" hidden="1" customWidth="1"/>
    <col min="21" max="21" width="10.1640625" style="121" hidden="1" customWidth="1"/>
    <col min="22" max="24" width="9.1640625" style="121" hidden="1" customWidth="1"/>
    <col min="25" max="25" width="10.1640625" style="121" hidden="1" customWidth="1"/>
    <col min="26" max="27" width="9.1640625" style="121" hidden="1" customWidth="1"/>
    <col min="28" max="29" width="10.1640625" style="121" hidden="1" customWidth="1"/>
    <col min="30" max="30" width="9.1640625" style="121" hidden="1" customWidth="1"/>
    <col min="31" max="31" width="10.6640625" style="121" customWidth="1"/>
    <col min="32" max="32" width="12.6640625" style="121" customWidth="1"/>
    <col min="33" max="16384" width="9.1640625" style="121"/>
  </cols>
  <sheetData>
    <row r="1" spans="1:32" x14ac:dyDescent="0.2">
      <c r="A1" s="120"/>
      <c r="B1" s="207" t="s">
        <v>712</v>
      </c>
      <c r="C1" s="207"/>
      <c r="D1" s="207"/>
      <c r="E1" s="207"/>
      <c r="F1" s="207"/>
      <c r="G1" s="207"/>
      <c r="H1" s="207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</row>
    <row r="2" spans="1:32" x14ac:dyDescent="0.2">
      <c r="A2" s="120"/>
      <c r="B2" s="207" t="s">
        <v>862</v>
      </c>
      <c r="C2" s="207"/>
      <c r="D2" s="207"/>
      <c r="E2" s="207"/>
      <c r="F2" s="207"/>
      <c r="G2" s="207"/>
      <c r="H2" s="207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  <c r="AF2" s="208"/>
    </row>
    <row r="4" spans="1:32" hidden="1" x14ac:dyDescent="0.2"/>
    <row r="5" spans="1:32" hidden="1" x14ac:dyDescent="0.2">
      <c r="AA5" s="130"/>
    </row>
    <row r="6" spans="1:32" hidden="1" x14ac:dyDescent="0.2"/>
    <row r="7" spans="1:32" hidden="1" x14ac:dyDescent="0.2"/>
    <row r="8" spans="1:32" hidden="1" x14ac:dyDescent="0.2"/>
    <row r="9" spans="1:32" x14ac:dyDescent="0.2">
      <c r="B9" s="121" t="str">
        <f>CONCATENATE("Jangka Waktu Penilaian : ",__identitas_jangka_waktu)</f>
        <v>Jangka Waktu Penilaian : 2 Januari s.d. 31 Desember 2023</v>
      </c>
    </row>
    <row r="10" spans="1:32" x14ac:dyDescent="0.2">
      <c r="B10" s="473" t="s">
        <v>573</v>
      </c>
      <c r="C10" s="473" t="s">
        <v>666</v>
      </c>
      <c r="D10" s="473" t="s">
        <v>579</v>
      </c>
      <c r="E10" s="473" t="s">
        <v>580</v>
      </c>
      <c r="F10" s="473"/>
      <c r="G10" s="473"/>
      <c r="H10" s="473"/>
      <c r="I10" s="473"/>
      <c r="J10" s="473"/>
      <c r="K10" s="473" t="s">
        <v>579</v>
      </c>
      <c r="L10" s="473" t="s">
        <v>663</v>
      </c>
      <c r="M10" s="473"/>
      <c r="N10" s="473"/>
      <c r="O10" s="473"/>
      <c r="P10" s="473"/>
      <c r="Q10" s="473"/>
      <c r="R10" s="475" t="s">
        <v>660</v>
      </c>
      <c r="S10" s="475"/>
      <c r="T10" s="475"/>
      <c r="U10" s="475"/>
      <c r="V10" s="475"/>
      <c r="W10" s="475"/>
      <c r="X10" s="475"/>
      <c r="Y10" s="475"/>
      <c r="Z10" s="475"/>
      <c r="AA10" s="475"/>
      <c r="AB10" s="475"/>
      <c r="AC10" s="475"/>
      <c r="AD10" s="475"/>
      <c r="AE10" s="477" t="s">
        <v>661</v>
      </c>
      <c r="AF10" s="477" t="s">
        <v>662</v>
      </c>
    </row>
    <row r="11" spans="1:32" ht="31.5" customHeight="1" x14ac:dyDescent="0.2">
      <c r="B11" s="455"/>
      <c r="C11" s="455"/>
      <c r="D11" s="455"/>
      <c r="E11" s="474" t="s">
        <v>665</v>
      </c>
      <c r="F11" s="474"/>
      <c r="G11" s="129" t="s">
        <v>664</v>
      </c>
      <c r="H11" s="455" t="s">
        <v>581</v>
      </c>
      <c r="I11" s="455"/>
      <c r="J11" s="125" t="s">
        <v>582</v>
      </c>
      <c r="K11" s="455"/>
      <c r="L11" s="474" t="s">
        <v>665</v>
      </c>
      <c r="M11" s="474"/>
      <c r="N11" s="129" t="s">
        <v>664</v>
      </c>
      <c r="O11" s="455" t="s">
        <v>581</v>
      </c>
      <c r="P11" s="455"/>
      <c r="Q11" s="125" t="s">
        <v>582</v>
      </c>
      <c r="R11" s="476"/>
      <c r="S11" s="476"/>
      <c r="T11" s="476"/>
      <c r="U11" s="476"/>
      <c r="V11" s="476"/>
      <c r="W11" s="476"/>
      <c r="X11" s="476"/>
      <c r="Y11" s="476"/>
      <c r="Z11" s="476"/>
      <c r="AA11" s="476"/>
      <c r="AB11" s="476"/>
      <c r="AC11" s="476"/>
      <c r="AD11" s="476"/>
      <c r="AE11" s="474"/>
      <c r="AF11" s="474"/>
    </row>
    <row r="12" spans="1:32" hidden="1" x14ac:dyDescent="0.2">
      <c r="B12" s="136" t="s">
        <v>571</v>
      </c>
      <c r="C12" s="137" t="s">
        <v>560</v>
      </c>
      <c r="D12" s="137" t="s">
        <v>407</v>
      </c>
      <c r="E12" s="137" t="s">
        <v>583</v>
      </c>
      <c r="F12" s="137" t="s">
        <v>585</v>
      </c>
      <c r="G12" s="137" t="s">
        <v>584</v>
      </c>
      <c r="H12" s="137" t="s">
        <v>586</v>
      </c>
      <c r="I12" s="137" t="s">
        <v>587</v>
      </c>
      <c r="J12" s="137" t="s">
        <v>588</v>
      </c>
      <c r="K12" s="137" t="s">
        <v>639</v>
      </c>
      <c r="L12" s="137" t="s">
        <v>640</v>
      </c>
      <c r="M12" s="137" t="s">
        <v>641</v>
      </c>
      <c r="N12" s="137" t="s">
        <v>642</v>
      </c>
      <c r="O12" s="137" t="s">
        <v>643</v>
      </c>
      <c r="P12" s="137" t="s">
        <v>644</v>
      </c>
      <c r="Q12" s="137" t="s">
        <v>645</v>
      </c>
      <c r="R12" s="138" t="s">
        <v>647</v>
      </c>
      <c r="S12" s="138" t="s">
        <v>646</v>
      </c>
      <c r="T12" s="138" t="s">
        <v>648</v>
      </c>
      <c r="U12" s="138" t="s">
        <v>649</v>
      </c>
      <c r="V12" s="138" t="s">
        <v>650</v>
      </c>
      <c r="W12" s="138" t="s">
        <v>651</v>
      </c>
      <c r="X12" s="138" t="s">
        <v>652</v>
      </c>
      <c r="Y12" s="138" t="s">
        <v>653</v>
      </c>
      <c r="Z12" s="138" t="s">
        <v>654</v>
      </c>
      <c r="AA12" s="138" t="s">
        <v>655</v>
      </c>
      <c r="AB12" s="138" t="s">
        <v>656</v>
      </c>
      <c r="AC12" s="138" t="s">
        <v>657</v>
      </c>
      <c r="AD12" s="138" t="s">
        <v>658</v>
      </c>
      <c r="AE12" s="137" t="s">
        <v>659</v>
      </c>
      <c r="AF12" s="139" t="s">
        <v>402</v>
      </c>
    </row>
    <row r="13" spans="1:32" ht="15" hidden="1" x14ac:dyDescent="0.2">
      <c r="B13" s="349">
        <f>SKP_formulir[[#This Row],[No]]</f>
        <v>0</v>
      </c>
      <c r="C13" s="350">
        <f>SKP_formulir[[#This Row],[Uraian]]</f>
        <v>0</v>
      </c>
      <c r="D13" s="351">
        <f>SKP_formulir[[#This Row],[Ak]]</f>
        <v>0</v>
      </c>
      <c r="E13" s="352">
        <f>SKP_formulir[[#This Row],[Qty]]</f>
        <v>0</v>
      </c>
      <c r="F13" s="353" t="str">
        <f>SKP_formulir[[#This Row],[QtySat]]</f>
        <v/>
      </c>
      <c r="G13" s="354">
        <f>SKP_formulir[[#This Row],[Qlt]]</f>
        <v>0</v>
      </c>
      <c r="H13" s="355">
        <f>SKP_formulir[[#This Row],[Waktu]]</f>
        <v>0</v>
      </c>
      <c r="I13" s="356" t="str">
        <f>SKP_formulir[[#This Row],[WaktuSat]]</f>
        <v/>
      </c>
      <c r="J13" s="354" t="str">
        <f>SKP_formulir[[#This Row],[Biaya]]</f>
        <v>-</v>
      </c>
      <c r="K13" s="351">
        <f>IFERROR(INDEX(Tabur[1TCK],MATCH(PENGUKURAN_formulir[[#This Row],[Uraian]],Tabur[Uraian],0),0),0)</f>
        <v>0</v>
      </c>
      <c r="L13" s="352">
        <f>IFERROR(INDEX(Tabur[1TCJ],MATCH(PENGUKURAN_formulir[[#This Row],[Uraian]],Tabur[Uraian],0),0),0)</f>
        <v>0</v>
      </c>
      <c r="M13" s="353" t="str">
        <f>IFERROR(INDEX(Tabur[Satuan],MATCH(PENGUKURAN_formulir[[#This Row],[Uraian]],Tabur[Uraian],0),0),"")</f>
        <v/>
      </c>
      <c r="N13" s="354">
        <v>100</v>
      </c>
      <c r="O13" s="355">
        <f>IFERROR(INDEX(Tabur[Durasi],MATCH(PENGUKURAN_formulir[[#This Row],[Uraian]],Tabur[Uraian],0),0),0)</f>
        <v>0</v>
      </c>
      <c r="P13" s="356" t="str">
        <f>IFERROR(INDEX(Tabur[DurasiSat],MATCH(PENGUKURAN_formulir[[#This Row],[Uraian]],Tabur[Uraian],0),0),"")</f>
        <v/>
      </c>
      <c r="Q13" s="354" t="str">
        <f>IFERROR(INDEX(Tabur[Biaya],MATCH(PENGUKURAN_formulir[[#This Row],[Uraian]],Tabur[Uraian],0),0),"-")</f>
        <v>-</v>
      </c>
      <c r="R13" s="357">
        <f>IF(PENGUKURAN_formulir[[#This Row],[Qty]]&gt;0,1,0)</f>
        <v>0</v>
      </c>
      <c r="S13" s="357"/>
      <c r="T13" s="357" t="e">
        <f>100-(PENGUKURAN_formulir[[#This Row],[Waktu2]]/PENGUKURAN_formulir[[#This Row],[Waktu]]*100)</f>
        <v>#DIV/0!</v>
      </c>
      <c r="U13" s="357" t="e">
        <f>100-(PENGUKURAN_formulir[[#This Row],[Biaya2]]/PENGUKURAN_formulir[[#This Row],[Biaya]]*100)</f>
        <v>#VALUE!</v>
      </c>
      <c r="V13" s="357" t="e">
        <f>PENGUKURAN_formulir[[#This Row],[Qty2]]/PENGUKURAN_formulir[[#This Row],[Qty]]*100</f>
        <v>#DIV/0!</v>
      </c>
      <c r="W13" s="357" t="e">
        <f>PENGUKURAN_formulir[[#This Row],[Qlt2]]/PENGUKURAN_formulir[[#This Row],[Qlt]]*100</f>
        <v>#DIV/0!</v>
      </c>
      <c r="X13" s="357" t="e">
        <f>IF(PENGUKURAN_formulir[[#This Row],[_persen_waktu]]&gt;24,PENGUKURAN_formulir[[#This Row],[_rw&gt;24]],PENGUKURAN_formulir[[#This Row],[_rw&lt;24]])</f>
        <v>#DIV/0!</v>
      </c>
      <c r="Y13" s="357" t="e">
        <f>IF(PENGUKURAN_formulir[[#This Row],[_persen_biaya]]&gt;24,PENGUKURAN_formulir[[#This Row],[_rb&gt;24]],PENGUKURAN_formulir[[#This Row],[_rb&lt;24]])</f>
        <v>#VALUE!</v>
      </c>
      <c r="Z13" s="357" t="e">
        <f>((1.76*PENGUKURAN_formulir[[#This Row],[Waktu]]-PENGUKURAN_formulir[[#This Row],[Waktu2]])/PENGUKURAN_formulir[[#This Row],[Waktu]])*100</f>
        <v>#DIV/0!</v>
      </c>
      <c r="AA13" s="357" t="e">
        <f>76-((((1.76*PENGUKURAN_formulir[[#This Row],[Waktu]]-PENGUKURAN_formulir[[#This Row],[Waktu2]])/PENGUKURAN_formulir[[#This Row],[Waktu]])*100)-100)</f>
        <v>#DIV/0!</v>
      </c>
      <c r="AB13" s="357" t="e">
        <f>((1.76*PENGUKURAN_formulir[[#This Row],[Biaya]]-PENGUKURAN_formulir[[#This Row],[Biaya2]])/PENGUKURAN_formulir[[#This Row],[Biaya]])*100</f>
        <v>#VALUE!</v>
      </c>
      <c r="AC13" s="357" t="e">
        <f>76-((((1.76*PENGUKURAN_formulir[[#This Row],[Biaya]]-PENGUKURAN_formulir[[#This Row],[Biaya2]])/PENGUKURAN_formulir[[#This Row],[Biaya]])*100)-100)</f>
        <v>#VALUE!</v>
      </c>
      <c r="AD13" s="357" t="e">
        <f>IFERROR(SUM(PENGUKURAN_formulir[[#This Row],[_kuantitas]:[_biaya]]),SUM(PENGUKURAN_formulir[[#This Row],[_kuantitas]:[_waktu]]))</f>
        <v>#DIV/0!</v>
      </c>
      <c r="AE13" s="358">
        <f>IFERROR(PENGUKURAN_formulir[[#This Row],[_penghitungan]],0)</f>
        <v>0</v>
      </c>
      <c r="AF13" s="359">
        <f>IF(PENGUKURAN_formulir[[#This Row],[Biaya]]="-",IF(PENGUKURAN_formulir[[#This Row],[Biaya2]]="-",PENGUKURAN_formulir[[#This Row],[Penghitungan]]/3,PENGUKURAN_formulir[[#This Row],[Penghitungan]]/4),PENGUKURAN_formulir[[#This Row],[Penghitungan]]/4)</f>
        <v>0</v>
      </c>
    </row>
    <row r="14" spans="1:32" ht="21" customHeight="1" x14ac:dyDescent="0.2">
      <c r="B14" s="140">
        <f>SKP_formulir[[#This Row],[No]]</f>
        <v>1</v>
      </c>
      <c r="C14" s="131" t="str">
        <f>SKP_formulir[[#This Row],[Uraian]]</f>
        <v>Melaksanakan perkuliahan (setiap semester)</v>
      </c>
      <c r="D14" s="134">
        <f>SKP_formulir[[#This Row],[Ak]]</f>
        <v>11</v>
      </c>
      <c r="E14" s="135">
        <f>SKP_formulir[[#This Row],[Qty]]</f>
        <v>27</v>
      </c>
      <c r="F14" s="142" t="str">
        <f>SKP_formulir[[#This Row],[QtySat]]</f>
        <v>sks</v>
      </c>
      <c r="G14" s="134">
        <f>SKP_formulir[[#This Row],[Qlt]]</f>
        <v>100</v>
      </c>
      <c r="H14" s="135">
        <f>SKP_formulir[[#This Row],[Waktu]]</f>
        <v>12</v>
      </c>
      <c r="I14" s="143" t="str">
        <f>SKP_formulir[[#This Row],[WaktuSat]]</f>
        <v>bulan</v>
      </c>
      <c r="J14" s="134" t="str">
        <f>SKP_formulir[[#This Row],[Biaya]]</f>
        <v>-</v>
      </c>
      <c r="K14" s="134">
        <f>IFERROR(INDEX(Tabur[1TCK],MATCH(PENGUKURAN_formulir[[#This Row],[Uraian]],Tabur[Uraian],0),0),0)</f>
        <v>11</v>
      </c>
      <c r="L14" s="135">
        <f>IFERROR(INDEX(Tabur[1TCJ],MATCH(PENGUKURAN_formulir[[#This Row],[Uraian]],Tabur[Uraian],0),0),0)</f>
        <v>27</v>
      </c>
      <c r="M14" s="142" t="str">
        <f>IFERROR(INDEX(Tabur[Satuan],MATCH(PENGUKURAN_formulir[[#This Row],[Uraian]],Tabur[Uraian],0),0),"")</f>
        <v>sks</v>
      </c>
      <c r="N14" s="334">
        <v>100</v>
      </c>
      <c r="O14" s="135">
        <f>IFERROR(INDEX(Tabur[Durasi],MATCH(PENGUKURAN_formulir[[#This Row],[Uraian]],Tabur[Uraian],0),0),0)</f>
        <v>12</v>
      </c>
      <c r="P14" s="143" t="str">
        <f>IFERROR(INDEX(Tabur[DurasiSat],MATCH(PENGUKURAN_formulir[[#This Row],[Uraian]],Tabur[Uraian],0),0),"")</f>
        <v>bulan</v>
      </c>
      <c r="Q14" s="134" t="str">
        <f>IFERROR(INDEX(Tabur[Biaya],MATCH(PENGUKURAN_formulir[[#This Row],[Uraian]],Tabur[Uraian],0),0),"-")</f>
        <v>-</v>
      </c>
      <c r="R14" s="132">
        <f>IF(PENGUKURAN_formulir[[#This Row],[Qty]]&gt;0,1,0)</f>
        <v>1</v>
      </c>
      <c r="S14" s="132"/>
      <c r="T14" s="132">
        <f>100-(PENGUKURAN_formulir[[#This Row],[Waktu2]]/PENGUKURAN_formulir[[#This Row],[Waktu]]*100)</f>
        <v>0</v>
      </c>
      <c r="U14" s="132" t="e">
        <f>100-(PENGUKURAN_formulir[[#This Row],[Biaya2]]/PENGUKURAN_formulir[[#This Row],[Biaya]]*100)</f>
        <v>#VALUE!</v>
      </c>
      <c r="V14" s="132">
        <f>PENGUKURAN_formulir[[#This Row],[Qty2]]/PENGUKURAN_formulir[[#This Row],[Qty]]*100</f>
        <v>100</v>
      </c>
      <c r="W14" s="132">
        <f>PENGUKURAN_formulir[[#This Row],[Qlt2]]/PENGUKURAN_formulir[[#This Row],[Qlt]]*100</f>
        <v>100</v>
      </c>
      <c r="X14" s="132">
        <f>IF(PENGUKURAN_formulir[[#This Row],[_persen_waktu]]&gt;24,PENGUKURAN_formulir[[#This Row],[_rw&gt;24]],PENGUKURAN_formulir[[#This Row],[_rw&lt;24]])</f>
        <v>76.000000000000014</v>
      </c>
      <c r="Y14" s="132" t="e">
        <f>IF(PENGUKURAN_formulir[[#This Row],[_persen_biaya]]&gt;24,PENGUKURAN_formulir[[#This Row],[_rb&gt;24]],PENGUKURAN_formulir[[#This Row],[_rb&lt;24]])</f>
        <v>#VALUE!</v>
      </c>
      <c r="Z14" s="132">
        <f>((1.76*PENGUKURAN_formulir[[#This Row],[Waktu]]-PENGUKURAN_formulir[[#This Row],[Waktu2]])/PENGUKURAN_formulir[[#This Row],[Waktu]])*100</f>
        <v>76.000000000000014</v>
      </c>
      <c r="AA14" s="132">
        <f>76-((((1.76*PENGUKURAN_formulir[[#This Row],[Waktu]]-PENGUKURAN_formulir[[#This Row],[Waktu2]])/PENGUKURAN_formulir[[#This Row],[Waktu]])*100)-100)</f>
        <v>99.999999999999986</v>
      </c>
      <c r="AB14" s="132" t="e">
        <f>((1.76*PENGUKURAN_formulir[[#This Row],[Biaya]]-PENGUKURAN_formulir[[#This Row],[Biaya2]])/PENGUKURAN_formulir[[#This Row],[Biaya]])*100</f>
        <v>#VALUE!</v>
      </c>
      <c r="AC14" s="132" t="e">
        <f>76-((((1.76*PENGUKURAN_formulir[[#This Row],[Biaya]]-PENGUKURAN_formulir[[#This Row],[Biaya2]])/PENGUKURAN_formulir[[#This Row],[Biaya]])*100)-100)</f>
        <v>#VALUE!</v>
      </c>
      <c r="AD14" s="132">
        <f>IFERROR(SUM(PENGUKURAN_formulir[[#This Row],[_kuantitas]:[_biaya]]),SUM(PENGUKURAN_formulir[[#This Row],[_kuantitas]:[_waktu]]))</f>
        <v>276</v>
      </c>
      <c r="AE14" s="133">
        <f>IFERROR(PENGUKURAN_formulir[[#This Row],[_penghitungan]],0)</f>
        <v>276</v>
      </c>
      <c r="AF14" s="141">
        <f>IF(PENGUKURAN_formulir[[#This Row],[Biaya]]="-",IF(PENGUKURAN_formulir[[#This Row],[Biaya2]]="-",PENGUKURAN_formulir[[#This Row],[Penghitungan]]/3,PENGUKURAN_formulir[[#This Row],[Penghitungan]]/4),PENGUKURAN_formulir[[#This Row],[Penghitungan]]/4)</f>
        <v>92</v>
      </c>
    </row>
    <row r="15" spans="1:32" ht="31" customHeight="1" x14ac:dyDescent="0.2">
      <c r="B15" s="429">
        <f>SKP_formulir[[#This Row],[No]]</f>
        <v>2</v>
      </c>
      <c r="C15" s="430" t="str">
        <f>SKP_formulir[[#This Row],[Uraian]]</f>
        <v>Membimbing KKN, Praktik Kerja Nyata, Praktik Kerja Lapangan (setiap semester)</v>
      </c>
      <c r="D15" s="431">
        <f>SKP_formulir[[#This Row],[Ak]]</f>
        <v>1</v>
      </c>
      <c r="E15" s="432">
        <f>SKP_formulir[[#This Row],[Qty]]</f>
        <v>4</v>
      </c>
      <c r="F15" s="433" t="str">
        <f>SKP_formulir[[#This Row],[QtySat]]</f>
        <v>kegiatan</v>
      </c>
      <c r="G15" s="431">
        <f>SKP_formulir[[#This Row],[Qlt]]</f>
        <v>100</v>
      </c>
      <c r="H15" s="432">
        <f>SKP_formulir[[#This Row],[Waktu]]</f>
        <v>6</v>
      </c>
      <c r="I15" s="429" t="str">
        <f>SKP_formulir[[#This Row],[WaktuSat]]</f>
        <v>bulan</v>
      </c>
      <c r="J15" s="431" t="str">
        <f>SKP_formulir[[#This Row],[Biaya]]</f>
        <v>-</v>
      </c>
      <c r="K15" s="431">
        <f>IFERROR(INDEX(Tabur[1TCK],MATCH(PENGUKURAN_formulir[[#This Row],[Uraian]],Tabur[Uraian],0),0),0)</f>
        <v>1</v>
      </c>
      <c r="L15" s="432">
        <f>IFERROR(INDEX(Tabur[1TCJ],MATCH(PENGUKURAN_formulir[[#This Row],[Uraian]],Tabur[Uraian],0),0),0)</f>
        <v>4</v>
      </c>
      <c r="M15" s="433" t="str">
        <f>IFERROR(INDEX(Tabur[Satuan],MATCH(PENGUKURAN_formulir[[#This Row],[Uraian]],Tabur[Uraian],0),0),"")</f>
        <v>kegiatan</v>
      </c>
      <c r="N15" s="434">
        <v>100</v>
      </c>
      <c r="O15" s="432">
        <f>IFERROR(INDEX(Tabur[Durasi],MATCH(PENGUKURAN_formulir[[#This Row],[Uraian]],Tabur[Uraian],0),0),0)</f>
        <v>6</v>
      </c>
      <c r="P15" s="429" t="str">
        <f>IFERROR(INDEX(Tabur[DurasiSat],MATCH(PENGUKURAN_formulir[[#This Row],[Uraian]],Tabur[Uraian],0),0),"")</f>
        <v>bulan</v>
      </c>
      <c r="Q15" s="431" t="str">
        <f>IFERROR(INDEX(Tabur[Biaya],MATCH(PENGUKURAN_formulir[[#This Row],[Uraian]],Tabur[Uraian],0),0),"-")</f>
        <v>-</v>
      </c>
      <c r="R15" s="435">
        <f>IF(PENGUKURAN_formulir[[#This Row],[Qty]]&gt;0,1,0)</f>
        <v>1</v>
      </c>
      <c r="S15" s="435"/>
      <c r="T15" s="435">
        <f>100-(PENGUKURAN_formulir[[#This Row],[Waktu2]]/PENGUKURAN_formulir[[#This Row],[Waktu]]*100)</f>
        <v>0</v>
      </c>
      <c r="U15" s="435" t="e">
        <f>100-(PENGUKURAN_formulir[[#This Row],[Biaya2]]/PENGUKURAN_formulir[[#This Row],[Biaya]]*100)</f>
        <v>#VALUE!</v>
      </c>
      <c r="V15" s="435">
        <f>PENGUKURAN_formulir[[#This Row],[Qty2]]/PENGUKURAN_formulir[[#This Row],[Qty]]*100</f>
        <v>100</v>
      </c>
      <c r="W15" s="435">
        <f>PENGUKURAN_formulir[[#This Row],[Qlt2]]/PENGUKURAN_formulir[[#This Row],[Qlt]]*100</f>
        <v>100</v>
      </c>
      <c r="X15" s="435">
        <f>IF(PENGUKURAN_formulir[[#This Row],[_persen_waktu]]&gt;24,PENGUKURAN_formulir[[#This Row],[_rw&gt;24]],PENGUKURAN_formulir[[#This Row],[_rw&lt;24]])</f>
        <v>76.000000000000014</v>
      </c>
      <c r="Y15" s="435" t="e">
        <f>IF(PENGUKURAN_formulir[[#This Row],[_persen_biaya]]&gt;24,PENGUKURAN_formulir[[#This Row],[_rb&gt;24]],PENGUKURAN_formulir[[#This Row],[_rb&lt;24]])</f>
        <v>#VALUE!</v>
      </c>
      <c r="Z15" s="435">
        <f>((1.76*PENGUKURAN_formulir[[#This Row],[Waktu]]-PENGUKURAN_formulir[[#This Row],[Waktu2]])/PENGUKURAN_formulir[[#This Row],[Waktu]])*100</f>
        <v>76.000000000000014</v>
      </c>
      <c r="AA15" s="435">
        <f>76-((((1.76*PENGUKURAN_formulir[[#This Row],[Waktu]]-PENGUKURAN_formulir[[#This Row],[Waktu2]])/PENGUKURAN_formulir[[#This Row],[Waktu]])*100)-100)</f>
        <v>99.999999999999986</v>
      </c>
      <c r="AB15" s="435" t="e">
        <f>((1.76*PENGUKURAN_formulir[[#This Row],[Biaya]]-PENGUKURAN_formulir[[#This Row],[Biaya2]])/PENGUKURAN_formulir[[#This Row],[Biaya]])*100</f>
        <v>#VALUE!</v>
      </c>
      <c r="AC15" s="435" t="e">
        <f>76-((((1.76*PENGUKURAN_formulir[[#This Row],[Biaya]]-PENGUKURAN_formulir[[#This Row],[Biaya2]])/PENGUKURAN_formulir[[#This Row],[Biaya]])*100)-100)</f>
        <v>#VALUE!</v>
      </c>
      <c r="AD15" s="435">
        <f>IFERROR(SUM(PENGUKURAN_formulir[[#This Row],[_kuantitas]:[_biaya]]),SUM(PENGUKURAN_formulir[[#This Row],[_kuantitas]:[_waktu]]))</f>
        <v>276</v>
      </c>
      <c r="AE15" s="436">
        <f>IFERROR(PENGUKURAN_formulir[[#This Row],[_penghitungan]],0)</f>
        <v>276</v>
      </c>
      <c r="AF15" s="437">
        <f>IF(PENGUKURAN_formulir[[#This Row],[Biaya]]="-",IF(PENGUKURAN_formulir[[#This Row],[Biaya2]]="-",PENGUKURAN_formulir[[#This Row],[Penghitungan]]/3,PENGUKURAN_formulir[[#This Row],[Penghitungan]]/4),PENGUKURAN_formulir[[#This Row],[Penghitungan]]/4)</f>
        <v>92</v>
      </c>
    </row>
    <row r="16" spans="1:32" ht="45" x14ac:dyDescent="0.2">
      <c r="B16" s="429">
        <f>SKP_formulir[[#This Row],[No]]</f>
        <v>3</v>
      </c>
      <c r="C16" s="430" t="str">
        <f>SKP_formulir[[#This Row],[Uraian]]</f>
        <v>Membimbing dan ikut membimbing dalam menghasilkan laporan akhir studi yang sesuai bidang penugasannya</v>
      </c>
      <c r="D16" s="431">
        <f>SKP_formulir[[#This Row],[Ak]]</f>
        <v>2</v>
      </c>
      <c r="E16" s="432">
        <f>SKP_formulir[[#This Row],[Qty]]</f>
        <v>3</v>
      </c>
      <c r="F16" s="433" t="str">
        <f>SKP_formulir[[#This Row],[QtySat]]</f>
        <v>kegiatan</v>
      </c>
      <c r="G16" s="431">
        <f>SKP_formulir[[#This Row],[Qlt]]</f>
        <v>100</v>
      </c>
      <c r="H16" s="432">
        <f>SKP_formulir[[#This Row],[Waktu]]</f>
        <v>12</v>
      </c>
      <c r="I16" s="429" t="str">
        <f>SKP_formulir[[#This Row],[WaktuSat]]</f>
        <v>bulan</v>
      </c>
      <c r="J16" s="431" t="str">
        <f>SKP_formulir[[#This Row],[Biaya]]</f>
        <v>-</v>
      </c>
      <c r="K16" s="431">
        <f>IFERROR(INDEX(Tabur[1TCK],MATCH(PENGUKURAN_formulir[[#This Row],[Uraian]],Tabur[Uraian],0),0),0)</f>
        <v>2</v>
      </c>
      <c r="L16" s="432">
        <f>IFERROR(INDEX(Tabur[1TCJ],MATCH(PENGUKURAN_formulir[[#This Row],[Uraian]],Tabur[Uraian],0),0),0)</f>
        <v>3</v>
      </c>
      <c r="M16" s="433" t="str">
        <f>IFERROR(INDEX(Tabur[Satuan],MATCH(PENGUKURAN_formulir[[#This Row],[Uraian]],Tabur[Uraian],0),0),"")</f>
        <v>kegiatan</v>
      </c>
      <c r="N16" s="434">
        <v>100</v>
      </c>
      <c r="O16" s="432">
        <f>IFERROR(INDEX(Tabur[Durasi],MATCH(PENGUKURAN_formulir[[#This Row],[Uraian]],Tabur[Uraian],0),0),0)</f>
        <v>12</v>
      </c>
      <c r="P16" s="429" t="str">
        <f>IFERROR(INDEX(Tabur[DurasiSat],MATCH(PENGUKURAN_formulir[[#This Row],[Uraian]],Tabur[Uraian],0),0),"")</f>
        <v>bulan</v>
      </c>
      <c r="Q16" s="431" t="str">
        <f>IFERROR(INDEX(Tabur[Biaya],MATCH(PENGUKURAN_formulir[[#This Row],[Uraian]],Tabur[Uraian],0),0),"-")</f>
        <v>-</v>
      </c>
      <c r="R16" s="435">
        <f>IF(PENGUKURAN_formulir[[#This Row],[Qty]]&gt;0,1,0)</f>
        <v>1</v>
      </c>
      <c r="S16" s="435"/>
      <c r="T16" s="435">
        <f>100-(PENGUKURAN_formulir[[#This Row],[Waktu2]]/PENGUKURAN_formulir[[#This Row],[Waktu]]*100)</f>
        <v>0</v>
      </c>
      <c r="U16" s="435" t="e">
        <f>100-(PENGUKURAN_formulir[[#This Row],[Biaya2]]/PENGUKURAN_formulir[[#This Row],[Biaya]]*100)</f>
        <v>#VALUE!</v>
      </c>
      <c r="V16" s="435">
        <f>PENGUKURAN_formulir[[#This Row],[Qty2]]/PENGUKURAN_formulir[[#This Row],[Qty]]*100</f>
        <v>100</v>
      </c>
      <c r="W16" s="435">
        <f>PENGUKURAN_formulir[[#This Row],[Qlt2]]/PENGUKURAN_formulir[[#This Row],[Qlt]]*100</f>
        <v>100</v>
      </c>
      <c r="X16" s="435">
        <f>IF(PENGUKURAN_formulir[[#This Row],[_persen_waktu]]&gt;24,PENGUKURAN_formulir[[#This Row],[_rw&gt;24]],PENGUKURAN_formulir[[#This Row],[_rw&lt;24]])</f>
        <v>76.000000000000014</v>
      </c>
      <c r="Y16" s="435" t="e">
        <f>IF(PENGUKURAN_formulir[[#This Row],[_persen_biaya]]&gt;24,PENGUKURAN_formulir[[#This Row],[_rb&gt;24]],PENGUKURAN_formulir[[#This Row],[_rb&lt;24]])</f>
        <v>#VALUE!</v>
      </c>
      <c r="Z16" s="435">
        <f>((1.76*PENGUKURAN_formulir[[#This Row],[Waktu]]-PENGUKURAN_formulir[[#This Row],[Waktu2]])/PENGUKURAN_formulir[[#This Row],[Waktu]])*100</f>
        <v>76.000000000000014</v>
      </c>
      <c r="AA16" s="435">
        <f>76-((((1.76*PENGUKURAN_formulir[[#This Row],[Waktu]]-PENGUKURAN_formulir[[#This Row],[Waktu2]])/PENGUKURAN_formulir[[#This Row],[Waktu]])*100)-100)</f>
        <v>99.999999999999986</v>
      </c>
      <c r="AB16" s="435" t="e">
        <f>((1.76*PENGUKURAN_formulir[[#This Row],[Biaya]]-PENGUKURAN_formulir[[#This Row],[Biaya2]])/PENGUKURAN_formulir[[#This Row],[Biaya]])*100</f>
        <v>#VALUE!</v>
      </c>
      <c r="AC16" s="435" t="e">
        <f>76-((((1.76*PENGUKURAN_formulir[[#This Row],[Biaya]]-PENGUKURAN_formulir[[#This Row],[Biaya2]])/PENGUKURAN_formulir[[#This Row],[Biaya]])*100)-100)</f>
        <v>#VALUE!</v>
      </c>
      <c r="AD16" s="435">
        <f>IFERROR(SUM(PENGUKURAN_formulir[[#This Row],[_kuantitas]:[_biaya]]),SUM(PENGUKURAN_formulir[[#This Row],[_kuantitas]:[_waktu]]))</f>
        <v>276</v>
      </c>
      <c r="AE16" s="436">
        <f>IFERROR(PENGUKURAN_formulir[[#This Row],[_penghitungan]],0)</f>
        <v>276</v>
      </c>
      <c r="AF16" s="437">
        <f>IF(PENGUKURAN_formulir[[#This Row],[Biaya]]="-",IF(PENGUKURAN_formulir[[#This Row],[Biaya2]]="-",PENGUKURAN_formulir[[#This Row],[Penghitungan]]/3,PENGUKURAN_formulir[[#This Row],[Penghitungan]]/4),PENGUKURAN_formulir[[#This Row],[Penghitungan]]/4)</f>
        <v>92</v>
      </c>
    </row>
    <row r="17" spans="2:32" ht="30" x14ac:dyDescent="0.2">
      <c r="B17" s="429">
        <f>SKP_formulir[[#This Row],[No]]</f>
        <v>4</v>
      </c>
      <c r="C17" s="430" t="str">
        <f>SKP_formulir[[#This Row],[Uraian]]</f>
        <v>Bertugas sebagai penguji pada ujian akhir/Profesi*** (setiap mahasiswa)</v>
      </c>
      <c r="D17" s="431">
        <f>SKP_formulir[[#This Row],[Ak]]</f>
        <v>2</v>
      </c>
      <c r="E17" s="432">
        <f>SKP_formulir[[#This Row],[Qty]]</f>
        <v>2</v>
      </c>
      <c r="F17" s="433" t="str">
        <f>SKP_formulir[[#This Row],[QtySat]]</f>
        <v>lulusan</v>
      </c>
      <c r="G17" s="431">
        <f>SKP_formulir[[#This Row],[Qlt]]</f>
        <v>100</v>
      </c>
      <c r="H17" s="432">
        <f>SKP_formulir[[#This Row],[Waktu]]</f>
        <v>6</v>
      </c>
      <c r="I17" s="429" t="str">
        <f>SKP_formulir[[#This Row],[WaktuSat]]</f>
        <v>bulan</v>
      </c>
      <c r="J17" s="431" t="str">
        <f>SKP_formulir[[#This Row],[Biaya]]</f>
        <v>-</v>
      </c>
      <c r="K17" s="431">
        <f>IFERROR(INDEX(Tabur[1TCK],MATCH(PENGUKURAN_formulir[[#This Row],[Uraian]],Tabur[Uraian],0),0),0)</f>
        <v>2</v>
      </c>
      <c r="L17" s="432">
        <f>IFERROR(INDEX(Tabur[1TCJ],MATCH(PENGUKURAN_formulir[[#This Row],[Uraian]],Tabur[Uraian],0),0),0)</f>
        <v>2</v>
      </c>
      <c r="M17" s="433" t="str">
        <f>IFERROR(INDEX(Tabur[Satuan],MATCH(PENGUKURAN_formulir[[#This Row],[Uraian]],Tabur[Uraian],0),0),"")</f>
        <v>lulusan</v>
      </c>
      <c r="N17" s="434">
        <v>100</v>
      </c>
      <c r="O17" s="432">
        <f>IFERROR(INDEX(Tabur[Durasi],MATCH(PENGUKURAN_formulir[[#This Row],[Uraian]],Tabur[Uraian],0),0),0)</f>
        <v>6</v>
      </c>
      <c r="P17" s="429" t="str">
        <f>IFERROR(INDEX(Tabur[DurasiSat],MATCH(PENGUKURAN_formulir[[#This Row],[Uraian]],Tabur[Uraian],0),0),"")</f>
        <v>bulan</v>
      </c>
      <c r="Q17" s="431" t="str">
        <f>IFERROR(INDEX(Tabur[Biaya],MATCH(PENGUKURAN_formulir[[#This Row],[Uraian]],Tabur[Uraian],0),0),"-")</f>
        <v>-</v>
      </c>
      <c r="R17" s="435">
        <f>IF(PENGUKURAN_formulir[[#This Row],[Qty]]&gt;0,1,0)</f>
        <v>1</v>
      </c>
      <c r="S17" s="435"/>
      <c r="T17" s="435">
        <f>100-(PENGUKURAN_formulir[[#This Row],[Waktu2]]/PENGUKURAN_formulir[[#This Row],[Waktu]]*100)</f>
        <v>0</v>
      </c>
      <c r="U17" s="435" t="e">
        <f>100-(PENGUKURAN_formulir[[#This Row],[Biaya2]]/PENGUKURAN_formulir[[#This Row],[Biaya]]*100)</f>
        <v>#VALUE!</v>
      </c>
      <c r="V17" s="435">
        <f>PENGUKURAN_formulir[[#This Row],[Qty2]]/PENGUKURAN_formulir[[#This Row],[Qty]]*100</f>
        <v>100</v>
      </c>
      <c r="W17" s="435">
        <f>PENGUKURAN_formulir[[#This Row],[Qlt2]]/PENGUKURAN_formulir[[#This Row],[Qlt]]*100</f>
        <v>100</v>
      </c>
      <c r="X17" s="435">
        <f>IF(PENGUKURAN_formulir[[#This Row],[_persen_waktu]]&gt;24,PENGUKURAN_formulir[[#This Row],[_rw&gt;24]],PENGUKURAN_formulir[[#This Row],[_rw&lt;24]])</f>
        <v>76.000000000000014</v>
      </c>
      <c r="Y17" s="435" t="e">
        <f>IF(PENGUKURAN_formulir[[#This Row],[_persen_biaya]]&gt;24,PENGUKURAN_formulir[[#This Row],[_rb&gt;24]],PENGUKURAN_formulir[[#This Row],[_rb&lt;24]])</f>
        <v>#VALUE!</v>
      </c>
      <c r="Z17" s="435">
        <f>((1.76*PENGUKURAN_formulir[[#This Row],[Waktu]]-PENGUKURAN_formulir[[#This Row],[Waktu2]])/PENGUKURAN_formulir[[#This Row],[Waktu]])*100</f>
        <v>76.000000000000014</v>
      </c>
      <c r="AA17" s="435">
        <f>76-((((1.76*PENGUKURAN_formulir[[#This Row],[Waktu]]-PENGUKURAN_formulir[[#This Row],[Waktu2]])/PENGUKURAN_formulir[[#This Row],[Waktu]])*100)-100)</f>
        <v>99.999999999999986</v>
      </c>
      <c r="AB17" s="435" t="e">
        <f>((1.76*PENGUKURAN_formulir[[#This Row],[Biaya]]-PENGUKURAN_formulir[[#This Row],[Biaya2]])/PENGUKURAN_formulir[[#This Row],[Biaya]])*100</f>
        <v>#VALUE!</v>
      </c>
      <c r="AC17" s="435" t="e">
        <f>76-((((1.76*PENGUKURAN_formulir[[#This Row],[Biaya]]-PENGUKURAN_formulir[[#This Row],[Biaya2]])/PENGUKURAN_formulir[[#This Row],[Biaya]])*100)-100)</f>
        <v>#VALUE!</v>
      </c>
      <c r="AD17" s="435">
        <f>IFERROR(SUM(PENGUKURAN_formulir[[#This Row],[_kuantitas]:[_biaya]]),SUM(PENGUKURAN_formulir[[#This Row],[_kuantitas]:[_waktu]]))</f>
        <v>276</v>
      </c>
      <c r="AE17" s="436">
        <f>IFERROR(PENGUKURAN_formulir[[#This Row],[_penghitungan]],0)</f>
        <v>276</v>
      </c>
      <c r="AF17" s="437">
        <f>IF(PENGUKURAN_formulir[[#This Row],[Biaya]]="-",IF(PENGUKURAN_formulir[[#This Row],[Biaya2]]="-",PENGUKURAN_formulir[[#This Row],[Penghitungan]]/3,PENGUKURAN_formulir[[#This Row],[Penghitungan]]/4),PENGUKURAN_formulir[[#This Row],[Penghitungan]]/4)</f>
        <v>92</v>
      </c>
    </row>
    <row r="18" spans="2:32" ht="30" x14ac:dyDescent="0.2">
      <c r="B18" s="429">
        <f>SKP_formulir[[#This Row],[No]]</f>
        <v>5</v>
      </c>
      <c r="C18" s="430" t="str">
        <f>SKP_formulir[[#This Row],[Uraian]]</f>
        <v>Menghasilkan karya ilmiah sesuai dengan bidang ilmunya</v>
      </c>
      <c r="D18" s="431">
        <f>SKP_formulir[[#This Row],[Ak]]</f>
        <v>30</v>
      </c>
      <c r="E18" s="432">
        <f>SKP_formulir[[#This Row],[Qty]]</f>
        <v>2</v>
      </c>
      <c r="F18" s="433" t="str">
        <f>SKP_formulir[[#This Row],[QtySat]]</f>
        <v>produk</v>
      </c>
      <c r="G18" s="431">
        <f>SKP_formulir[[#This Row],[Qlt]]</f>
        <v>100</v>
      </c>
      <c r="H18" s="432">
        <f>SKP_formulir[[#This Row],[Waktu]]</f>
        <v>6</v>
      </c>
      <c r="I18" s="429" t="str">
        <f>SKP_formulir[[#This Row],[WaktuSat]]</f>
        <v>bulan</v>
      </c>
      <c r="J18" s="431" t="str">
        <f>SKP_formulir[[#This Row],[Biaya]]</f>
        <v>-</v>
      </c>
      <c r="K18" s="431">
        <f>IFERROR(INDEX(Tabur[1TCK],MATCH(PENGUKURAN_formulir[[#This Row],[Uraian]],Tabur[Uraian],0),0),0)</f>
        <v>30</v>
      </c>
      <c r="L18" s="432">
        <f>IFERROR(INDEX(Tabur[1TCJ],MATCH(PENGUKURAN_formulir[[#This Row],[Uraian]],Tabur[Uraian],0),0),0)</f>
        <v>2</v>
      </c>
      <c r="M18" s="433" t="str">
        <f>IFERROR(INDEX(Tabur[Satuan],MATCH(PENGUKURAN_formulir[[#This Row],[Uraian]],Tabur[Uraian],0),0),"")</f>
        <v>produk</v>
      </c>
      <c r="N18" s="434">
        <v>100</v>
      </c>
      <c r="O18" s="432">
        <f>IFERROR(INDEX(Tabur[Durasi],MATCH(PENGUKURAN_formulir[[#This Row],[Uraian]],Tabur[Uraian],0),0),0)</f>
        <v>6</v>
      </c>
      <c r="P18" s="429" t="str">
        <f>IFERROR(INDEX(Tabur[DurasiSat],MATCH(PENGUKURAN_formulir[[#This Row],[Uraian]],Tabur[Uraian],0),0),"")</f>
        <v>bulan</v>
      </c>
      <c r="Q18" s="431" t="str">
        <f>IFERROR(INDEX(Tabur[Biaya],MATCH(PENGUKURAN_formulir[[#This Row],[Uraian]],Tabur[Uraian],0),0),"-")</f>
        <v>-</v>
      </c>
      <c r="R18" s="435">
        <f>IF(PENGUKURAN_formulir[[#This Row],[Qty]]&gt;0,1,0)</f>
        <v>1</v>
      </c>
      <c r="S18" s="435"/>
      <c r="T18" s="435">
        <f>100-(PENGUKURAN_formulir[[#This Row],[Waktu2]]/PENGUKURAN_formulir[[#This Row],[Waktu]]*100)</f>
        <v>0</v>
      </c>
      <c r="U18" s="435" t="e">
        <f>100-(PENGUKURAN_formulir[[#This Row],[Biaya2]]/PENGUKURAN_formulir[[#This Row],[Biaya]]*100)</f>
        <v>#VALUE!</v>
      </c>
      <c r="V18" s="435">
        <f>PENGUKURAN_formulir[[#This Row],[Qty2]]/PENGUKURAN_formulir[[#This Row],[Qty]]*100</f>
        <v>100</v>
      </c>
      <c r="W18" s="435">
        <f>PENGUKURAN_formulir[[#This Row],[Qlt2]]/PENGUKURAN_formulir[[#This Row],[Qlt]]*100</f>
        <v>100</v>
      </c>
      <c r="X18" s="435">
        <f>IF(PENGUKURAN_formulir[[#This Row],[_persen_waktu]]&gt;24,PENGUKURAN_formulir[[#This Row],[_rw&gt;24]],PENGUKURAN_formulir[[#This Row],[_rw&lt;24]])</f>
        <v>76.000000000000014</v>
      </c>
      <c r="Y18" s="435" t="e">
        <f>IF(PENGUKURAN_formulir[[#This Row],[_persen_biaya]]&gt;24,PENGUKURAN_formulir[[#This Row],[_rb&gt;24]],PENGUKURAN_formulir[[#This Row],[_rb&lt;24]])</f>
        <v>#VALUE!</v>
      </c>
      <c r="Z18" s="435">
        <f>((1.76*PENGUKURAN_formulir[[#This Row],[Waktu]]-PENGUKURAN_formulir[[#This Row],[Waktu2]])/PENGUKURAN_formulir[[#This Row],[Waktu]])*100</f>
        <v>76.000000000000014</v>
      </c>
      <c r="AA18" s="435">
        <f>76-((((1.76*PENGUKURAN_formulir[[#This Row],[Waktu]]-PENGUKURAN_formulir[[#This Row],[Waktu2]])/PENGUKURAN_formulir[[#This Row],[Waktu]])*100)-100)</f>
        <v>99.999999999999986</v>
      </c>
      <c r="AB18" s="435" t="e">
        <f>((1.76*PENGUKURAN_formulir[[#This Row],[Biaya]]-PENGUKURAN_formulir[[#This Row],[Biaya2]])/PENGUKURAN_formulir[[#This Row],[Biaya]])*100</f>
        <v>#VALUE!</v>
      </c>
      <c r="AC18" s="435" t="e">
        <f>76-((((1.76*PENGUKURAN_formulir[[#This Row],[Biaya]]-PENGUKURAN_formulir[[#This Row],[Biaya2]])/PENGUKURAN_formulir[[#This Row],[Biaya]])*100)-100)</f>
        <v>#VALUE!</v>
      </c>
      <c r="AD18" s="435">
        <f>IFERROR(SUM(PENGUKURAN_formulir[[#This Row],[_kuantitas]:[_biaya]]),SUM(PENGUKURAN_formulir[[#This Row],[_kuantitas]:[_waktu]]))</f>
        <v>276</v>
      </c>
      <c r="AE18" s="436">
        <f>IFERROR(PENGUKURAN_formulir[[#This Row],[_penghitungan]],0)</f>
        <v>276</v>
      </c>
      <c r="AF18" s="437">
        <f>IF(PENGUKURAN_formulir[[#This Row],[Biaya]]="-",IF(PENGUKURAN_formulir[[#This Row],[Biaya2]]="-",PENGUKURAN_formulir[[#This Row],[Penghitungan]]/3,PENGUKURAN_formulir[[#This Row],[Penghitungan]]/4),PENGUKURAN_formulir[[#This Row],[Penghitungan]]/4)</f>
        <v>92</v>
      </c>
    </row>
    <row r="19" spans="2:32" ht="60" x14ac:dyDescent="0.2">
      <c r="B19" s="429">
        <f>SKP_formulir[[#This Row],[No]]</f>
        <v>6</v>
      </c>
      <c r="C19" s="430" t="str">
        <f>SKP_formulir[[#This Row],[Uraian]]</f>
        <v>Hasil penelitian atau pemikiran atau kerjasama industri yang tidak dipublikasikan (tersimpan dalam perpustakaan)</v>
      </c>
      <c r="D19" s="431">
        <f>SKP_formulir[[#This Row],[Ak]]</f>
        <v>2</v>
      </c>
      <c r="E19" s="432">
        <f>SKP_formulir[[#This Row],[Qty]]</f>
        <v>1</v>
      </c>
      <c r="F19" s="433" t="str">
        <f>SKP_formulir[[#This Row],[QtySat]]</f>
        <v>produk</v>
      </c>
      <c r="G19" s="431">
        <f>SKP_formulir[[#This Row],[Qlt]]</f>
        <v>100</v>
      </c>
      <c r="H19" s="432">
        <f>SKP_formulir[[#This Row],[Waktu]]</f>
        <v>6</v>
      </c>
      <c r="I19" s="429" t="str">
        <f>SKP_formulir[[#This Row],[WaktuSat]]</f>
        <v>bulan</v>
      </c>
      <c r="J19" s="431" t="str">
        <f>SKP_formulir[[#This Row],[Biaya]]</f>
        <v>-</v>
      </c>
      <c r="K19" s="431">
        <f>IFERROR(INDEX(Tabur[1TCK],MATCH(PENGUKURAN_formulir[[#This Row],[Uraian]],Tabur[Uraian],0),0),0)</f>
        <v>2</v>
      </c>
      <c r="L19" s="432">
        <f>IFERROR(INDEX(Tabur[1TCJ],MATCH(PENGUKURAN_formulir[[#This Row],[Uraian]],Tabur[Uraian],0),0),0)</f>
        <v>1</v>
      </c>
      <c r="M19" s="433" t="str">
        <f>IFERROR(INDEX(Tabur[Satuan],MATCH(PENGUKURAN_formulir[[#This Row],[Uraian]],Tabur[Uraian],0),0),"")</f>
        <v>produk</v>
      </c>
      <c r="N19" s="434">
        <v>100</v>
      </c>
      <c r="O19" s="432">
        <f>IFERROR(INDEX(Tabur[Durasi],MATCH(PENGUKURAN_formulir[[#This Row],[Uraian]],Tabur[Uraian],0),0),0)</f>
        <v>6</v>
      </c>
      <c r="P19" s="429" t="str">
        <f>IFERROR(INDEX(Tabur[DurasiSat],MATCH(PENGUKURAN_formulir[[#This Row],[Uraian]],Tabur[Uraian],0),0),"")</f>
        <v>bulan</v>
      </c>
      <c r="Q19" s="431" t="str">
        <f>IFERROR(INDEX(Tabur[Biaya],MATCH(PENGUKURAN_formulir[[#This Row],[Uraian]],Tabur[Uraian],0),0),"-")</f>
        <v>-</v>
      </c>
      <c r="R19" s="435">
        <f>IF(PENGUKURAN_formulir[[#This Row],[Qty]]&gt;0,1,0)</f>
        <v>1</v>
      </c>
      <c r="S19" s="435"/>
      <c r="T19" s="435">
        <f>100-(PENGUKURAN_formulir[[#This Row],[Waktu2]]/PENGUKURAN_formulir[[#This Row],[Waktu]]*100)</f>
        <v>0</v>
      </c>
      <c r="U19" s="435" t="e">
        <f>100-(PENGUKURAN_formulir[[#This Row],[Biaya2]]/PENGUKURAN_formulir[[#This Row],[Biaya]]*100)</f>
        <v>#VALUE!</v>
      </c>
      <c r="V19" s="435">
        <f>PENGUKURAN_formulir[[#This Row],[Qty2]]/PENGUKURAN_formulir[[#This Row],[Qty]]*100</f>
        <v>100</v>
      </c>
      <c r="W19" s="435">
        <f>PENGUKURAN_formulir[[#This Row],[Qlt2]]/PENGUKURAN_formulir[[#This Row],[Qlt]]*100</f>
        <v>100</v>
      </c>
      <c r="X19" s="435">
        <f>IF(PENGUKURAN_formulir[[#This Row],[_persen_waktu]]&gt;24,PENGUKURAN_formulir[[#This Row],[_rw&gt;24]],PENGUKURAN_formulir[[#This Row],[_rw&lt;24]])</f>
        <v>76.000000000000014</v>
      </c>
      <c r="Y19" s="435" t="e">
        <f>IF(PENGUKURAN_formulir[[#This Row],[_persen_biaya]]&gt;24,PENGUKURAN_formulir[[#This Row],[_rb&gt;24]],PENGUKURAN_formulir[[#This Row],[_rb&lt;24]])</f>
        <v>#VALUE!</v>
      </c>
      <c r="Z19" s="435">
        <f>((1.76*PENGUKURAN_formulir[[#This Row],[Waktu]]-PENGUKURAN_formulir[[#This Row],[Waktu2]])/PENGUKURAN_formulir[[#This Row],[Waktu]])*100</f>
        <v>76.000000000000014</v>
      </c>
      <c r="AA19" s="435">
        <f>76-((((1.76*PENGUKURAN_formulir[[#This Row],[Waktu]]-PENGUKURAN_formulir[[#This Row],[Waktu2]])/PENGUKURAN_formulir[[#This Row],[Waktu]])*100)-100)</f>
        <v>99.999999999999986</v>
      </c>
      <c r="AB19" s="435" t="e">
        <f>((1.76*PENGUKURAN_formulir[[#This Row],[Biaya]]-PENGUKURAN_formulir[[#This Row],[Biaya2]])/PENGUKURAN_formulir[[#This Row],[Biaya]])*100</f>
        <v>#VALUE!</v>
      </c>
      <c r="AC19" s="435" t="e">
        <f>76-((((1.76*PENGUKURAN_formulir[[#This Row],[Biaya]]-PENGUKURAN_formulir[[#This Row],[Biaya2]])/PENGUKURAN_formulir[[#This Row],[Biaya]])*100)-100)</f>
        <v>#VALUE!</v>
      </c>
      <c r="AD19" s="435">
        <f>IFERROR(SUM(PENGUKURAN_formulir[[#This Row],[_kuantitas]:[_biaya]]),SUM(PENGUKURAN_formulir[[#This Row],[_kuantitas]:[_waktu]]))</f>
        <v>276</v>
      </c>
      <c r="AE19" s="436">
        <f>IFERROR(PENGUKURAN_formulir[[#This Row],[_penghitungan]],0)</f>
        <v>276</v>
      </c>
      <c r="AF19" s="437">
        <f>IF(PENGUKURAN_formulir[[#This Row],[Biaya]]="-",IF(PENGUKURAN_formulir[[#This Row],[Biaya2]]="-",PENGUKURAN_formulir[[#This Row],[Penghitungan]]/3,PENGUKURAN_formulir[[#This Row],[Penghitungan]]/4),PENGUKURAN_formulir[[#This Row],[Penghitungan]]/4)</f>
        <v>92</v>
      </c>
    </row>
    <row r="20" spans="2:32" ht="45" x14ac:dyDescent="0.2">
      <c r="B20" s="429">
        <f>SKP_formulir[[#This Row],[No]]</f>
        <v>7</v>
      </c>
      <c r="C20" s="430" t="str">
        <f>SKP_formulir[[#This Row],[Uraian]]</f>
        <v>Membuat rancangan dan karya teknologi/seni yang dipatenkan secara nasional atau internasional</v>
      </c>
      <c r="D20" s="431">
        <f>SKP_formulir[[#This Row],[Ak]]</f>
        <v>15</v>
      </c>
      <c r="E20" s="432">
        <f>SKP_formulir[[#This Row],[Qty]]</f>
        <v>1</v>
      </c>
      <c r="F20" s="433" t="str">
        <f>SKP_formulir[[#This Row],[QtySat]]</f>
        <v>produk</v>
      </c>
      <c r="G20" s="431">
        <f>SKP_formulir[[#This Row],[Qlt]]</f>
        <v>100</v>
      </c>
      <c r="H20" s="432">
        <f>SKP_formulir[[#This Row],[Waktu]]</f>
        <v>6</v>
      </c>
      <c r="I20" s="429" t="str">
        <f>SKP_formulir[[#This Row],[WaktuSat]]</f>
        <v>bulan</v>
      </c>
      <c r="J20" s="431" t="str">
        <f>SKP_formulir[[#This Row],[Biaya]]</f>
        <v>-</v>
      </c>
      <c r="K20" s="431">
        <f>IFERROR(INDEX(Tabur[1TCK],MATCH(PENGUKURAN_formulir[[#This Row],[Uraian]],Tabur[Uraian],0),0),0)</f>
        <v>15</v>
      </c>
      <c r="L20" s="432">
        <f>IFERROR(INDEX(Tabur[1TCJ],MATCH(PENGUKURAN_formulir[[#This Row],[Uraian]],Tabur[Uraian],0),0),0)</f>
        <v>1</v>
      </c>
      <c r="M20" s="433" t="str">
        <f>IFERROR(INDEX(Tabur[Satuan],MATCH(PENGUKURAN_formulir[[#This Row],[Uraian]],Tabur[Uraian],0),0),"")</f>
        <v>produk</v>
      </c>
      <c r="N20" s="434">
        <v>100</v>
      </c>
      <c r="O20" s="432">
        <f>IFERROR(INDEX(Tabur[Durasi],MATCH(PENGUKURAN_formulir[[#This Row],[Uraian]],Tabur[Uraian],0),0),0)</f>
        <v>6</v>
      </c>
      <c r="P20" s="429" t="str">
        <f>IFERROR(INDEX(Tabur[DurasiSat],MATCH(PENGUKURAN_formulir[[#This Row],[Uraian]],Tabur[Uraian],0),0),"")</f>
        <v>bulan</v>
      </c>
      <c r="Q20" s="431" t="str">
        <f>IFERROR(INDEX(Tabur[Biaya],MATCH(PENGUKURAN_formulir[[#This Row],[Uraian]],Tabur[Uraian],0),0),"-")</f>
        <v>-</v>
      </c>
      <c r="R20" s="435">
        <f>IF(PENGUKURAN_formulir[[#This Row],[Qty]]&gt;0,1,0)</f>
        <v>1</v>
      </c>
      <c r="S20" s="435"/>
      <c r="T20" s="435">
        <f>100-(PENGUKURAN_formulir[[#This Row],[Waktu2]]/PENGUKURAN_formulir[[#This Row],[Waktu]]*100)</f>
        <v>0</v>
      </c>
      <c r="U20" s="435" t="e">
        <f>100-(PENGUKURAN_formulir[[#This Row],[Biaya2]]/PENGUKURAN_formulir[[#This Row],[Biaya]]*100)</f>
        <v>#VALUE!</v>
      </c>
      <c r="V20" s="435">
        <f>PENGUKURAN_formulir[[#This Row],[Qty2]]/PENGUKURAN_formulir[[#This Row],[Qty]]*100</f>
        <v>100</v>
      </c>
      <c r="W20" s="435">
        <f>PENGUKURAN_formulir[[#This Row],[Qlt2]]/PENGUKURAN_formulir[[#This Row],[Qlt]]*100</f>
        <v>100</v>
      </c>
      <c r="X20" s="435">
        <f>IF(PENGUKURAN_formulir[[#This Row],[_persen_waktu]]&gt;24,PENGUKURAN_formulir[[#This Row],[_rw&gt;24]],PENGUKURAN_formulir[[#This Row],[_rw&lt;24]])</f>
        <v>76.000000000000014</v>
      </c>
      <c r="Y20" s="435" t="e">
        <f>IF(PENGUKURAN_formulir[[#This Row],[_persen_biaya]]&gt;24,PENGUKURAN_formulir[[#This Row],[_rb&gt;24]],PENGUKURAN_formulir[[#This Row],[_rb&lt;24]])</f>
        <v>#VALUE!</v>
      </c>
      <c r="Z20" s="435">
        <f>((1.76*PENGUKURAN_formulir[[#This Row],[Waktu]]-PENGUKURAN_formulir[[#This Row],[Waktu2]])/PENGUKURAN_formulir[[#This Row],[Waktu]])*100</f>
        <v>76.000000000000014</v>
      </c>
      <c r="AA20" s="435">
        <f>76-((((1.76*PENGUKURAN_formulir[[#This Row],[Waktu]]-PENGUKURAN_formulir[[#This Row],[Waktu2]])/PENGUKURAN_formulir[[#This Row],[Waktu]])*100)-100)</f>
        <v>99.999999999999986</v>
      </c>
      <c r="AB20" s="435" t="e">
        <f>((1.76*PENGUKURAN_formulir[[#This Row],[Biaya]]-PENGUKURAN_formulir[[#This Row],[Biaya2]])/PENGUKURAN_formulir[[#This Row],[Biaya]])*100</f>
        <v>#VALUE!</v>
      </c>
      <c r="AC20" s="435" t="e">
        <f>76-((((1.76*PENGUKURAN_formulir[[#This Row],[Biaya]]-PENGUKURAN_formulir[[#This Row],[Biaya2]])/PENGUKURAN_formulir[[#This Row],[Biaya]])*100)-100)</f>
        <v>#VALUE!</v>
      </c>
      <c r="AD20" s="435">
        <f>IFERROR(SUM(PENGUKURAN_formulir[[#This Row],[_kuantitas]:[_biaya]]),SUM(PENGUKURAN_formulir[[#This Row],[_kuantitas]:[_waktu]]))</f>
        <v>276</v>
      </c>
      <c r="AE20" s="436">
        <f>IFERROR(PENGUKURAN_formulir[[#This Row],[_penghitungan]],0)</f>
        <v>276</v>
      </c>
      <c r="AF20" s="437">
        <f>IF(PENGUKURAN_formulir[[#This Row],[Biaya]]="-",IF(PENGUKURAN_formulir[[#This Row],[Biaya2]]="-",PENGUKURAN_formulir[[#This Row],[Penghitungan]]/3,PENGUKURAN_formulir[[#This Row],[Penghitungan]]/4),PENGUKURAN_formulir[[#This Row],[Penghitungan]]/4)</f>
        <v>92</v>
      </c>
    </row>
    <row r="21" spans="2:32" ht="60" x14ac:dyDescent="0.2">
      <c r="B21" s="429">
        <f>SKP_formulir[[#This Row],[No]]</f>
        <v>8</v>
      </c>
      <c r="C21" s="430" t="str">
        <f>SKP_formulir[[#This Row],[Uraian]]</f>
        <v>Melaksanakan pengembangan hasil pendidikan, dan penelitian yang dapat dimanfaatkan oleh masyarakat/ industry setiap program</v>
      </c>
      <c r="D21" s="431">
        <f>SKP_formulir[[#This Row],[Ak]]</f>
        <v>3</v>
      </c>
      <c r="E21" s="432">
        <f>SKP_formulir[[#This Row],[Qty]]</f>
        <v>1</v>
      </c>
      <c r="F21" s="433" t="str">
        <f>SKP_formulir[[#This Row],[QtySat]]</f>
        <v>kegiatan</v>
      </c>
      <c r="G21" s="431">
        <f>SKP_formulir[[#This Row],[Qlt]]</f>
        <v>100</v>
      </c>
      <c r="H21" s="432">
        <f>SKP_formulir[[#This Row],[Waktu]]</f>
        <v>6</v>
      </c>
      <c r="I21" s="429" t="str">
        <f>SKP_formulir[[#This Row],[WaktuSat]]</f>
        <v>bulan</v>
      </c>
      <c r="J21" s="431" t="str">
        <f>SKP_formulir[[#This Row],[Biaya]]</f>
        <v>-</v>
      </c>
      <c r="K21" s="431">
        <f>IFERROR(INDEX(Tabur[1TCK],MATCH(PENGUKURAN_formulir[[#This Row],[Uraian]],Tabur[Uraian],0),0),0)</f>
        <v>3</v>
      </c>
      <c r="L21" s="432">
        <f>IFERROR(INDEX(Tabur[1TCJ],MATCH(PENGUKURAN_formulir[[#This Row],[Uraian]],Tabur[Uraian],0),0),0)</f>
        <v>1</v>
      </c>
      <c r="M21" s="433" t="str">
        <f>IFERROR(INDEX(Tabur[Satuan],MATCH(PENGUKURAN_formulir[[#This Row],[Uraian]],Tabur[Uraian],0),0),"")</f>
        <v>kegiatan</v>
      </c>
      <c r="N21" s="434">
        <v>100</v>
      </c>
      <c r="O21" s="432">
        <f>IFERROR(INDEX(Tabur[Durasi],MATCH(PENGUKURAN_formulir[[#This Row],[Uraian]],Tabur[Uraian],0),0),0)</f>
        <v>6</v>
      </c>
      <c r="P21" s="429" t="str">
        <f>IFERROR(INDEX(Tabur[DurasiSat],MATCH(PENGUKURAN_formulir[[#This Row],[Uraian]],Tabur[Uraian],0),0),"")</f>
        <v>bulan</v>
      </c>
      <c r="Q21" s="431" t="str">
        <f>IFERROR(INDEX(Tabur[Biaya],MATCH(PENGUKURAN_formulir[[#This Row],[Uraian]],Tabur[Uraian],0),0),"-")</f>
        <v>-</v>
      </c>
      <c r="R21" s="435">
        <f>IF(PENGUKURAN_formulir[[#This Row],[Qty]]&gt;0,1,0)</f>
        <v>1</v>
      </c>
      <c r="S21" s="435"/>
      <c r="T21" s="435">
        <f>100-(PENGUKURAN_formulir[[#This Row],[Waktu2]]/PENGUKURAN_formulir[[#This Row],[Waktu]]*100)</f>
        <v>0</v>
      </c>
      <c r="U21" s="435" t="e">
        <f>100-(PENGUKURAN_formulir[[#This Row],[Biaya2]]/PENGUKURAN_formulir[[#This Row],[Biaya]]*100)</f>
        <v>#VALUE!</v>
      </c>
      <c r="V21" s="435">
        <f>PENGUKURAN_formulir[[#This Row],[Qty2]]/PENGUKURAN_formulir[[#This Row],[Qty]]*100</f>
        <v>100</v>
      </c>
      <c r="W21" s="435">
        <f>PENGUKURAN_formulir[[#This Row],[Qlt2]]/PENGUKURAN_formulir[[#This Row],[Qlt]]*100</f>
        <v>100</v>
      </c>
      <c r="X21" s="435">
        <f>IF(PENGUKURAN_formulir[[#This Row],[_persen_waktu]]&gt;24,PENGUKURAN_formulir[[#This Row],[_rw&gt;24]],PENGUKURAN_formulir[[#This Row],[_rw&lt;24]])</f>
        <v>76.000000000000014</v>
      </c>
      <c r="Y21" s="435" t="e">
        <f>IF(PENGUKURAN_formulir[[#This Row],[_persen_biaya]]&gt;24,PENGUKURAN_formulir[[#This Row],[_rb&gt;24]],PENGUKURAN_formulir[[#This Row],[_rb&lt;24]])</f>
        <v>#VALUE!</v>
      </c>
      <c r="Z21" s="435">
        <f>((1.76*PENGUKURAN_formulir[[#This Row],[Waktu]]-PENGUKURAN_formulir[[#This Row],[Waktu2]])/PENGUKURAN_formulir[[#This Row],[Waktu]])*100</f>
        <v>76.000000000000014</v>
      </c>
      <c r="AA21" s="435">
        <f>76-((((1.76*PENGUKURAN_formulir[[#This Row],[Waktu]]-PENGUKURAN_formulir[[#This Row],[Waktu2]])/PENGUKURAN_formulir[[#This Row],[Waktu]])*100)-100)</f>
        <v>99.999999999999986</v>
      </c>
      <c r="AB21" s="435" t="e">
        <f>((1.76*PENGUKURAN_formulir[[#This Row],[Biaya]]-PENGUKURAN_formulir[[#This Row],[Biaya2]])/PENGUKURAN_formulir[[#This Row],[Biaya]])*100</f>
        <v>#VALUE!</v>
      </c>
      <c r="AC21" s="435" t="e">
        <f>76-((((1.76*PENGUKURAN_formulir[[#This Row],[Biaya]]-PENGUKURAN_formulir[[#This Row],[Biaya2]])/PENGUKURAN_formulir[[#This Row],[Biaya]])*100)-100)</f>
        <v>#VALUE!</v>
      </c>
      <c r="AD21" s="435">
        <f>IFERROR(SUM(PENGUKURAN_formulir[[#This Row],[_kuantitas]:[_biaya]]),SUM(PENGUKURAN_formulir[[#This Row],[_kuantitas]:[_waktu]]))</f>
        <v>276</v>
      </c>
      <c r="AE21" s="436">
        <f>IFERROR(PENGUKURAN_formulir[[#This Row],[_penghitungan]],0)</f>
        <v>276</v>
      </c>
      <c r="AF21" s="437">
        <f>IF(PENGUKURAN_formulir[[#This Row],[Biaya]]="-",IF(PENGUKURAN_formulir[[#This Row],[Biaya2]]="-",PENGUKURAN_formulir[[#This Row],[Penghitungan]]/3,PENGUKURAN_formulir[[#This Row],[Penghitungan]]/4),PENGUKURAN_formulir[[#This Row],[Penghitungan]]/4)</f>
        <v>92</v>
      </c>
    </row>
    <row r="22" spans="2:32" ht="105" x14ac:dyDescent="0.2">
      <c r="B22" s="429">
        <f>SKP_formulir[[#This Row],[No]]</f>
        <v>9</v>
      </c>
      <c r="C22" s="430" t="str">
        <f>SKP_formulir[[#This Row],[Uraian]]</f>
        <v>Hasil kegiatan pengabdian kepada masyarakat yang dipublikasikan di sebuah berkala/jurnal pengabdian kepada masyarakat atau teknologi tepat guna, merupakan diseminasi dari luaran program kegiatan pengabdian kepada masyarakat, tiap karya</v>
      </c>
      <c r="D22" s="431">
        <f>SKP_formulir[[#This Row],[Ak]]</f>
        <v>5</v>
      </c>
      <c r="E22" s="432">
        <f>SKP_formulir[[#This Row],[Qty]]</f>
        <v>1</v>
      </c>
      <c r="F22" s="433" t="str">
        <f>SKP_formulir[[#This Row],[QtySat]]</f>
        <v>produk</v>
      </c>
      <c r="G22" s="431">
        <f>SKP_formulir[[#This Row],[Qlt]]</f>
        <v>100</v>
      </c>
      <c r="H22" s="432">
        <f>SKP_formulir[[#This Row],[Waktu]]</f>
        <v>6</v>
      </c>
      <c r="I22" s="429" t="str">
        <f>SKP_formulir[[#This Row],[WaktuSat]]</f>
        <v>bulan</v>
      </c>
      <c r="J22" s="431" t="str">
        <f>SKP_formulir[[#This Row],[Biaya]]</f>
        <v>-</v>
      </c>
      <c r="K22" s="431">
        <f>IFERROR(INDEX(Tabur[1TCK],MATCH(PENGUKURAN_formulir[[#This Row],[Uraian]],Tabur[Uraian],0),0),0)</f>
        <v>5</v>
      </c>
      <c r="L22" s="432">
        <f>IFERROR(INDEX(Tabur[1TCJ],MATCH(PENGUKURAN_formulir[[#This Row],[Uraian]],Tabur[Uraian],0),0),0)</f>
        <v>1</v>
      </c>
      <c r="M22" s="433" t="str">
        <f>IFERROR(INDEX(Tabur[Satuan],MATCH(PENGUKURAN_formulir[[#This Row],[Uraian]],Tabur[Uraian],0),0),"")</f>
        <v>produk</v>
      </c>
      <c r="N22" s="434">
        <v>100</v>
      </c>
      <c r="O22" s="432">
        <f>IFERROR(INDEX(Tabur[Durasi],MATCH(PENGUKURAN_formulir[[#This Row],[Uraian]],Tabur[Uraian],0),0),0)</f>
        <v>6</v>
      </c>
      <c r="P22" s="429" t="str">
        <f>IFERROR(INDEX(Tabur[DurasiSat],MATCH(PENGUKURAN_formulir[[#This Row],[Uraian]],Tabur[Uraian],0),0),"")</f>
        <v>bulan</v>
      </c>
      <c r="Q22" s="431" t="str">
        <f>IFERROR(INDEX(Tabur[Biaya],MATCH(PENGUKURAN_formulir[[#This Row],[Uraian]],Tabur[Uraian],0),0),"-")</f>
        <v>-</v>
      </c>
      <c r="R22" s="435">
        <f>IF(PENGUKURAN_formulir[[#This Row],[Qty]]&gt;0,1,0)</f>
        <v>1</v>
      </c>
      <c r="S22" s="435"/>
      <c r="T22" s="435">
        <f>100-(PENGUKURAN_formulir[[#This Row],[Waktu2]]/PENGUKURAN_formulir[[#This Row],[Waktu]]*100)</f>
        <v>0</v>
      </c>
      <c r="U22" s="435" t="e">
        <f>100-(PENGUKURAN_formulir[[#This Row],[Biaya2]]/PENGUKURAN_formulir[[#This Row],[Biaya]]*100)</f>
        <v>#VALUE!</v>
      </c>
      <c r="V22" s="435">
        <f>PENGUKURAN_formulir[[#This Row],[Qty2]]/PENGUKURAN_formulir[[#This Row],[Qty]]*100</f>
        <v>100</v>
      </c>
      <c r="W22" s="435">
        <f>PENGUKURAN_formulir[[#This Row],[Qlt2]]/PENGUKURAN_formulir[[#This Row],[Qlt]]*100</f>
        <v>100</v>
      </c>
      <c r="X22" s="435">
        <f>IF(PENGUKURAN_formulir[[#This Row],[_persen_waktu]]&gt;24,PENGUKURAN_formulir[[#This Row],[_rw&gt;24]],PENGUKURAN_formulir[[#This Row],[_rw&lt;24]])</f>
        <v>76.000000000000014</v>
      </c>
      <c r="Y22" s="435" t="e">
        <f>IF(PENGUKURAN_formulir[[#This Row],[_persen_biaya]]&gt;24,PENGUKURAN_formulir[[#This Row],[_rb&gt;24]],PENGUKURAN_formulir[[#This Row],[_rb&lt;24]])</f>
        <v>#VALUE!</v>
      </c>
      <c r="Z22" s="435">
        <f>((1.76*PENGUKURAN_formulir[[#This Row],[Waktu]]-PENGUKURAN_formulir[[#This Row],[Waktu2]])/PENGUKURAN_formulir[[#This Row],[Waktu]])*100</f>
        <v>76.000000000000014</v>
      </c>
      <c r="AA22" s="435">
        <f>76-((((1.76*PENGUKURAN_formulir[[#This Row],[Waktu]]-PENGUKURAN_formulir[[#This Row],[Waktu2]])/PENGUKURAN_formulir[[#This Row],[Waktu]])*100)-100)</f>
        <v>99.999999999999986</v>
      </c>
      <c r="AB22" s="435" t="e">
        <f>((1.76*PENGUKURAN_formulir[[#This Row],[Biaya]]-PENGUKURAN_formulir[[#This Row],[Biaya2]])/PENGUKURAN_formulir[[#This Row],[Biaya]])*100</f>
        <v>#VALUE!</v>
      </c>
      <c r="AC22" s="435" t="e">
        <f>76-((((1.76*PENGUKURAN_formulir[[#This Row],[Biaya]]-PENGUKURAN_formulir[[#This Row],[Biaya2]])/PENGUKURAN_formulir[[#This Row],[Biaya]])*100)-100)</f>
        <v>#VALUE!</v>
      </c>
      <c r="AD22" s="435">
        <f>IFERROR(SUM(PENGUKURAN_formulir[[#This Row],[_kuantitas]:[_biaya]]),SUM(PENGUKURAN_formulir[[#This Row],[_kuantitas]:[_waktu]]))</f>
        <v>276</v>
      </c>
      <c r="AE22" s="436">
        <f>IFERROR(PENGUKURAN_formulir[[#This Row],[_penghitungan]],0)</f>
        <v>276</v>
      </c>
      <c r="AF22" s="437">
        <f>IF(PENGUKURAN_formulir[[#This Row],[Biaya]]="-",IF(PENGUKURAN_formulir[[#This Row],[Biaya2]]="-",PENGUKURAN_formulir[[#This Row],[Penghitungan]]/3,PENGUKURAN_formulir[[#This Row],[Penghitungan]]/4),PENGUKURAN_formulir[[#This Row],[Penghitungan]]/4)</f>
        <v>92</v>
      </c>
    </row>
    <row r="23" spans="2:32" ht="30" x14ac:dyDescent="0.2">
      <c r="B23" s="429">
        <f>SKP_formulir[[#This Row],[No]]</f>
        <v>10</v>
      </c>
      <c r="C23" s="430" t="str">
        <f>SKP_formulir[[#This Row],[Uraian]]</f>
        <v>Berperan serta aktif dalam pengelolaan jurnal ilmiah (per tahun)</v>
      </c>
      <c r="D23" s="431">
        <f>SKP_formulir[[#This Row],[Ak]]</f>
        <v>0.5</v>
      </c>
      <c r="E23" s="432">
        <f>SKP_formulir[[#This Row],[Qty]]</f>
        <v>1</v>
      </c>
      <c r="F23" s="433" t="str">
        <f>SKP_formulir[[#This Row],[QtySat]]</f>
        <v>Jurnal</v>
      </c>
      <c r="G23" s="431">
        <f>SKP_formulir[[#This Row],[Qlt]]</f>
        <v>100</v>
      </c>
      <c r="H23" s="432">
        <f>SKP_formulir[[#This Row],[Waktu]]</f>
        <v>12</v>
      </c>
      <c r="I23" s="429" t="str">
        <f>SKP_formulir[[#This Row],[WaktuSat]]</f>
        <v>bulan</v>
      </c>
      <c r="J23" s="431" t="str">
        <f>SKP_formulir[[#This Row],[Biaya]]</f>
        <v>-</v>
      </c>
      <c r="K23" s="431">
        <f>IFERROR(INDEX(Tabur[1TCK],MATCH(PENGUKURAN_formulir[[#This Row],[Uraian]],Tabur[Uraian],0),0),0)</f>
        <v>0.5</v>
      </c>
      <c r="L23" s="432">
        <f>IFERROR(INDEX(Tabur[1TCJ],MATCH(PENGUKURAN_formulir[[#This Row],[Uraian]],Tabur[Uraian],0),0),0)</f>
        <v>1</v>
      </c>
      <c r="M23" s="433" t="str">
        <f>IFERROR(INDEX(Tabur[Satuan],MATCH(PENGUKURAN_formulir[[#This Row],[Uraian]],Tabur[Uraian],0),0),"")</f>
        <v>Jurnal</v>
      </c>
      <c r="N23" s="434">
        <v>100</v>
      </c>
      <c r="O23" s="432">
        <f>IFERROR(INDEX(Tabur[Durasi],MATCH(PENGUKURAN_formulir[[#This Row],[Uraian]],Tabur[Uraian],0),0),0)</f>
        <v>12</v>
      </c>
      <c r="P23" s="429" t="str">
        <f>IFERROR(INDEX(Tabur[DurasiSat],MATCH(PENGUKURAN_formulir[[#This Row],[Uraian]],Tabur[Uraian],0),0),"")</f>
        <v>bulan</v>
      </c>
      <c r="Q23" s="431" t="str">
        <f>IFERROR(INDEX(Tabur[Biaya],MATCH(PENGUKURAN_formulir[[#This Row],[Uraian]],Tabur[Uraian],0),0),"-")</f>
        <v>-</v>
      </c>
      <c r="R23" s="435">
        <f>IF(PENGUKURAN_formulir[[#This Row],[Qty]]&gt;0,1,0)</f>
        <v>1</v>
      </c>
      <c r="S23" s="435"/>
      <c r="T23" s="435">
        <f>100-(PENGUKURAN_formulir[[#This Row],[Waktu2]]/PENGUKURAN_formulir[[#This Row],[Waktu]]*100)</f>
        <v>0</v>
      </c>
      <c r="U23" s="435" t="e">
        <f>100-(PENGUKURAN_formulir[[#This Row],[Biaya2]]/PENGUKURAN_formulir[[#This Row],[Biaya]]*100)</f>
        <v>#VALUE!</v>
      </c>
      <c r="V23" s="435">
        <f>PENGUKURAN_formulir[[#This Row],[Qty2]]/PENGUKURAN_formulir[[#This Row],[Qty]]*100</f>
        <v>100</v>
      </c>
      <c r="W23" s="435">
        <f>PENGUKURAN_formulir[[#This Row],[Qlt2]]/PENGUKURAN_formulir[[#This Row],[Qlt]]*100</f>
        <v>100</v>
      </c>
      <c r="X23" s="435">
        <f>IF(PENGUKURAN_formulir[[#This Row],[_persen_waktu]]&gt;24,PENGUKURAN_formulir[[#This Row],[_rw&gt;24]],PENGUKURAN_formulir[[#This Row],[_rw&lt;24]])</f>
        <v>76.000000000000014</v>
      </c>
      <c r="Y23" s="435" t="e">
        <f>IF(PENGUKURAN_formulir[[#This Row],[_persen_biaya]]&gt;24,PENGUKURAN_formulir[[#This Row],[_rb&gt;24]],PENGUKURAN_formulir[[#This Row],[_rb&lt;24]])</f>
        <v>#VALUE!</v>
      </c>
      <c r="Z23" s="435">
        <f>((1.76*PENGUKURAN_formulir[[#This Row],[Waktu]]-PENGUKURAN_formulir[[#This Row],[Waktu2]])/PENGUKURAN_formulir[[#This Row],[Waktu]])*100</f>
        <v>76.000000000000014</v>
      </c>
      <c r="AA23" s="435">
        <f>76-((((1.76*PENGUKURAN_formulir[[#This Row],[Waktu]]-PENGUKURAN_formulir[[#This Row],[Waktu2]])/PENGUKURAN_formulir[[#This Row],[Waktu]])*100)-100)</f>
        <v>99.999999999999986</v>
      </c>
      <c r="AB23" s="435" t="e">
        <f>((1.76*PENGUKURAN_formulir[[#This Row],[Biaya]]-PENGUKURAN_formulir[[#This Row],[Biaya2]])/PENGUKURAN_formulir[[#This Row],[Biaya]])*100</f>
        <v>#VALUE!</v>
      </c>
      <c r="AC23" s="435" t="e">
        <f>76-((((1.76*PENGUKURAN_formulir[[#This Row],[Biaya]]-PENGUKURAN_formulir[[#This Row],[Biaya2]])/PENGUKURAN_formulir[[#This Row],[Biaya]])*100)-100)</f>
        <v>#VALUE!</v>
      </c>
      <c r="AD23" s="435">
        <f>IFERROR(SUM(PENGUKURAN_formulir[[#This Row],[_kuantitas]:[_biaya]]),SUM(PENGUKURAN_formulir[[#This Row],[_kuantitas]:[_waktu]]))</f>
        <v>276</v>
      </c>
      <c r="AE23" s="436">
        <f>IFERROR(PENGUKURAN_formulir[[#This Row],[_penghitungan]],0)</f>
        <v>276</v>
      </c>
      <c r="AF23" s="437">
        <f>IF(PENGUKURAN_formulir[[#This Row],[Biaya]]="-",IF(PENGUKURAN_formulir[[#This Row],[Biaya2]]="-",PENGUKURAN_formulir[[#This Row],[Penghitungan]]/3,PENGUKURAN_formulir[[#This Row],[Penghitungan]]/4),PENGUKURAN_formulir[[#This Row],[Penghitungan]]/4)</f>
        <v>92</v>
      </c>
    </row>
    <row r="24" spans="2:32" ht="30" x14ac:dyDescent="0.2">
      <c r="B24" s="429">
        <f>SKP_formulir[[#This Row],[No]]</f>
        <v>11</v>
      </c>
      <c r="C24" s="430" t="str">
        <f>SKP_formulir[[#This Row],[Uraian]]</f>
        <v>Menjadi anggota dalam suatu Panitia/Badan pada Perguruan Tinggi</v>
      </c>
      <c r="D24" s="431">
        <f>SKP_formulir[[#This Row],[Ak]]</f>
        <v>2</v>
      </c>
      <c r="E24" s="432">
        <f>SKP_formulir[[#This Row],[Qty]]</f>
        <v>1</v>
      </c>
      <c r="F24" s="433" t="str">
        <f>SKP_formulir[[#This Row],[QtySat]]</f>
        <v>kegiatan</v>
      </c>
      <c r="G24" s="431">
        <f>SKP_formulir[[#This Row],[Qlt]]</f>
        <v>100</v>
      </c>
      <c r="H24" s="432">
        <f>SKP_formulir[[#This Row],[Waktu]]</f>
        <v>6</v>
      </c>
      <c r="I24" s="429" t="str">
        <f>SKP_formulir[[#This Row],[WaktuSat]]</f>
        <v>bulan</v>
      </c>
      <c r="J24" s="431" t="str">
        <f>SKP_formulir[[#This Row],[Biaya]]</f>
        <v>-</v>
      </c>
      <c r="K24" s="431">
        <f>IFERROR(INDEX(Tabur[1TCK],MATCH(PENGUKURAN_formulir[[#This Row],[Uraian]],Tabur[Uraian],0),0),0)</f>
        <v>2</v>
      </c>
      <c r="L24" s="432">
        <f>IFERROR(INDEX(Tabur[1TCJ],MATCH(PENGUKURAN_formulir[[#This Row],[Uraian]],Tabur[Uraian],0),0),0)</f>
        <v>1</v>
      </c>
      <c r="M24" s="433" t="str">
        <f>IFERROR(INDEX(Tabur[Satuan],MATCH(PENGUKURAN_formulir[[#This Row],[Uraian]],Tabur[Uraian],0),0),"")</f>
        <v>kegiatan</v>
      </c>
      <c r="N24" s="434">
        <v>100</v>
      </c>
      <c r="O24" s="432">
        <f>IFERROR(INDEX(Tabur[Durasi],MATCH(PENGUKURAN_formulir[[#This Row],[Uraian]],Tabur[Uraian],0),0),0)</f>
        <v>6</v>
      </c>
      <c r="P24" s="429" t="str">
        <f>IFERROR(INDEX(Tabur[DurasiSat],MATCH(PENGUKURAN_formulir[[#This Row],[Uraian]],Tabur[Uraian],0),0),"")</f>
        <v>bulan</v>
      </c>
      <c r="Q24" s="431" t="str">
        <f>IFERROR(INDEX(Tabur[Biaya],MATCH(PENGUKURAN_formulir[[#This Row],[Uraian]],Tabur[Uraian],0),0),"-")</f>
        <v>-</v>
      </c>
      <c r="R24" s="435">
        <f>IF(PENGUKURAN_formulir[[#This Row],[Qty]]&gt;0,1,0)</f>
        <v>1</v>
      </c>
      <c r="S24" s="435"/>
      <c r="T24" s="435">
        <f>100-(PENGUKURAN_formulir[[#This Row],[Waktu2]]/PENGUKURAN_formulir[[#This Row],[Waktu]]*100)</f>
        <v>0</v>
      </c>
      <c r="U24" s="435" t="e">
        <f>100-(PENGUKURAN_formulir[[#This Row],[Biaya2]]/PENGUKURAN_formulir[[#This Row],[Biaya]]*100)</f>
        <v>#VALUE!</v>
      </c>
      <c r="V24" s="435">
        <f>PENGUKURAN_formulir[[#This Row],[Qty2]]/PENGUKURAN_formulir[[#This Row],[Qty]]*100</f>
        <v>100</v>
      </c>
      <c r="W24" s="435">
        <f>PENGUKURAN_formulir[[#This Row],[Qlt2]]/PENGUKURAN_formulir[[#This Row],[Qlt]]*100</f>
        <v>100</v>
      </c>
      <c r="X24" s="435">
        <f>IF(PENGUKURAN_formulir[[#This Row],[_persen_waktu]]&gt;24,PENGUKURAN_formulir[[#This Row],[_rw&gt;24]],PENGUKURAN_formulir[[#This Row],[_rw&lt;24]])</f>
        <v>76.000000000000014</v>
      </c>
      <c r="Y24" s="435" t="e">
        <f>IF(PENGUKURAN_formulir[[#This Row],[_persen_biaya]]&gt;24,PENGUKURAN_formulir[[#This Row],[_rb&gt;24]],PENGUKURAN_formulir[[#This Row],[_rb&lt;24]])</f>
        <v>#VALUE!</v>
      </c>
      <c r="Z24" s="435">
        <f>((1.76*PENGUKURAN_formulir[[#This Row],[Waktu]]-PENGUKURAN_formulir[[#This Row],[Waktu2]])/PENGUKURAN_formulir[[#This Row],[Waktu]])*100</f>
        <v>76.000000000000014</v>
      </c>
      <c r="AA24" s="435">
        <f>76-((((1.76*PENGUKURAN_formulir[[#This Row],[Waktu]]-PENGUKURAN_formulir[[#This Row],[Waktu2]])/PENGUKURAN_formulir[[#This Row],[Waktu]])*100)-100)</f>
        <v>99.999999999999986</v>
      </c>
      <c r="AB24" s="435" t="e">
        <f>((1.76*PENGUKURAN_formulir[[#This Row],[Biaya]]-PENGUKURAN_formulir[[#This Row],[Biaya2]])/PENGUKURAN_formulir[[#This Row],[Biaya]])*100</f>
        <v>#VALUE!</v>
      </c>
      <c r="AC24" s="435" t="e">
        <f>76-((((1.76*PENGUKURAN_formulir[[#This Row],[Biaya]]-PENGUKURAN_formulir[[#This Row],[Biaya2]])/PENGUKURAN_formulir[[#This Row],[Biaya]])*100)-100)</f>
        <v>#VALUE!</v>
      </c>
      <c r="AD24" s="435">
        <f>IFERROR(SUM(PENGUKURAN_formulir[[#This Row],[_kuantitas]:[_biaya]]),SUM(PENGUKURAN_formulir[[#This Row],[_kuantitas]:[_waktu]]))</f>
        <v>276</v>
      </c>
      <c r="AE24" s="436">
        <f>IFERROR(PENGUKURAN_formulir[[#This Row],[_penghitungan]],0)</f>
        <v>276</v>
      </c>
      <c r="AF24" s="437">
        <f>IF(PENGUKURAN_formulir[[#This Row],[Biaya]]="-",IF(PENGUKURAN_formulir[[#This Row],[Biaya2]]="-",PENGUKURAN_formulir[[#This Row],[Penghitungan]]/3,PENGUKURAN_formulir[[#This Row],[Penghitungan]]/4),PENGUKURAN_formulir[[#This Row],[Penghitungan]]/4)</f>
        <v>92</v>
      </c>
    </row>
    <row r="25" spans="2:32" ht="15" x14ac:dyDescent="0.2">
      <c r="B25" s="152"/>
      <c r="C25" s="151" t="s">
        <v>355</v>
      </c>
      <c r="D25" s="127">
        <f>SUM(PENGUKURAN_formulir[Ak])</f>
        <v>73.5</v>
      </c>
      <c r="E25" s="128"/>
      <c r="F25" s="228"/>
      <c r="G25" s="229"/>
      <c r="H25" s="229"/>
      <c r="I25" s="229"/>
      <c r="J25" s="147"/>
      <c r="K25" s="127">
        <f>SUM(PENGUKURAN_formulir[Ak2])</f>
        <v>73.5</v>
      </c>
      <c r="L25" s="128"/>
      <c r="M25" s="228"/>
      <c r="N25" s="233"/>
      <c r="O25" s="229"/>
      <c r="P25" s="229"/>
      <c r="Q25" s="229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1"/>
      <c r="AF25" s="232"/>
    </row>
    <row r="26" spans="2:32" x14ac:dyDescent="0.2">
      <c r="B26" s="122"/>
      <c r="C26" s="478" t="s">
        <v>667</v>
      </c>
      <c r="D26" s="479"/>
      <c r="E26" s="479"/>
      <c r="F26" s="479"/>
      <c r="G26" s="479"/>
      <c r="H26" s="479"/>
      <c r="I26" s="479"/>
      <c r="J26" s="479"/>
      <c r="K26" s="479"/>
      <c r="L26" s="479"/>
      <c r="M26" s="479"/>
      <c r="N26" s="479"/>
      <c r="O26" s="479"/>
      <c r="P26" s="479"/>
      <c r="Q26" s="479"/>
      <c r="R26" s="479"/>
      <c r="S26" s="479"/>
      <c r="T26" s="479"/>
      <c r="U26" s="479"/>
      <c r="V26" s="479"/>
      <c r="W26" s="479"/>
      <c r="X26" s="479"/>
      <c r="Y26" s="479"/>
      <c r="Z26" s="479"/>
      <c r="AA26" s="479"/>
      <c r="AB26" s="479"/>
      <c r="AC26" s="479"/>
      <c r="AD26" s="479"/>
      <c r="AE26" s="479"/>
      <c r="AF26" s="480"/>
    </row>
    <row r="27" spans="2:32" x14ac:dyDescent="0.2">
      <c r="B27" s="145">
        <v>1</v>
      </c>
      <c r="C27" s="144" t="s">
        <v>668</v>
      </c>
      <c r="D27" s="478"/>
      <c r="E27" s="479"/>
      <c r="F27" s="479"/>
      <c r="G27" s="479"/>
      <c r="H27" s="479"/>
      <c r="I27" s="479"/>
      <c r="J27" s="479"/>
      <c r="K27" s="479"/>
      <c r="L27" s="479"/>
      <c r="M27" s="479"/>
      <c r="N27" s="479"/>
      <c r="O27" s="479"/>
      <c r="P27" s="479"/>
      <c r="Q27" s="479"/>
      <c r="R27" s="479"/>
      <c r="S27" s="479"/>
      <c r="T27" s="479"/>
      <c r="U27" s="479"/>
      <c r="V27" s="479"/>
      <c r="W27" s="479"/>
      <c r="X27" s="479"/>
      <c r="Y27" s="479"/>
      <c r="Z27" s="479"/>
      <c r="AA27" s="479"/>
      <c r="AB27" s="479"/>
      <c r="AC27" s="479"/>
      <c r="AD27" s="479"/>
      <c r="AE27" s="480"/>
      <c r="AF27" s="133"/>
    </row>
    <row r="28" spans="2:32" x14ac:dyDescent="0.2">
      <c r="B28" s="145">
        <v>2</v>
      </c>
      <c r="C28" s="144" t="s">
        <v>669</v>
      </c>
      <c r="D28" s="481"/>
      <c r="E28" s="482"/>
      <c r="F28" s="482"/>
      <c r="G28" s="482"/>
      <c r="H28" s="482"/>
      <c r="I28" s="482"/>
      <c r="J28" s="482"/>
      <c r="K28" s="482"/>
      <c r="L28" s="482"/>
      <c r="M28" s="482"/>
      <c r="N28" s="482"/>
      <c r="O28" s="482"/>
      <c r="P28" s="482"/>
      <c r="Q28" s="482"/>
      <c r="R28" s="482"/>
      <c r="S28" s="482"/>
      <c r="T28" s="482"/>
      <c r="U28" s="482"/>
      <c r="V28" s="482"/>
      <c r="W28" s="482"/>
      <c r="X28" s="482"/>
      <c r="Y28" s="482"/>
      <c r="Z28" s="482"/>
      <c r="AA28" s="482"/>
      <c r="AB28" s="482"/>
      <c r="AC28" s="482"/>
      <c r="AD28" s="482"/>
      <c r="AE28" s="483"/>
      <c r="AF28" s="133"/>
    </row>
    <row r="29" spans="2:32" x14ac:dyDescent="0.2">
      <c r="B29" s="467" t="s">
        <v>662</v>
      </c>
      <c r="C29" s="468"/>
      <c r="D29" s="468"/>
      <c r="E29" s="468"/>
      <c r="F29" s="468"/>
      <c r="G29" s="468"/>
      <c r="H29" s="468"/>
      <c r="I29" s="468"/>
      <c r="J29" s="468"/>
      <c r="K29" s="468"/>
      <c r="L29" s="468"/>
      <c r="M29" s="468"/>
      <c r="N29" s="468"/>
      <c r="O29" s="468"/>
      <c r="P29" s="468"/>
      <c r="Q29" s="468"/>
      <c r="R29" s="468"/>
      <c r="S29" s="468"/>
      <c r="T29" s="468"/>
      <c r="U29" s="468"/>
      <c r="V29" s="468"/>
      <c r="W29" s="468"/>
      <c r="X29" s="468"/>
      <c r="Y29" s="468"/>
      <c r="Z29" s="468"/>
      <c r="AA29" s="468"/>
      <c r="AB29" s="468"/>
      <c r="AC29" s="468"/>
      <c r="AD29" s="468"/>
      <c r="AE29" s="469"/>
      <c r="AF29" s="146">
        <f>IFERROR(AVERAGEIF(PENGUKURAN_formulir[Capaian],"&gt;0")+__pengukuran_tugas_tambahan+__pengukuran_kreativitas,0)</f>
        <v>92</v>
      </c>
    </row>
    <row r="30" spans="2:32" x14ac:dyDescent="0.2">
      <c r="B30" s="470"/>
      <c r="C30" s="471"/>
      <c r="D30" s="471"/>
      <c r="E30" s="471"/>
      <c r="F30" s="471"/>
      <c r="G30" s="471"/>
      <c r="H30" s="471"/>
      <c r="I30" s="471"/>
      <c r="J30" s="471"/>
      <c r="K30" s="471"/>
      <c r="L30" s="471"/>
      <c r="M30" s="471"/>
      <c r="N30" s="471"/>
      <c r="O30" s="471"/>
      <c r="P30" s="471"/>
      <c r="Q30" s="471"/>
      <c r="R30" s="471"/>
      <c r="S30" s="471"/>
      <c r="T30" s="471"/>
      <c r="U30" s="471"/>
      <c r="V30" s="471"/>
      <c r="W30" s="471"/>
      <c r="X30" s="471"/>
      <c r="Y30" s="471"/>
      <c r="Z30" s="471"/>
      <c r="AA30" s="471"/>
      <c r="AB30" s="471"/>
      <c r="AC30" s="471"/>
      <c r="AD30" s="471"/>
      <c r="AE30" s="472"/>
      <c r="AF30" s="126" t="str">
        <f>INDEX(TabutNilai[Sebutan],MATCH(AF29,TabutNilai[Perilaku],-1),1)</f>
        <v>Sangat Baik</v>
      </c>
    </row>
    <row r="32" spans="2:32" x14ac:dyDescent="0.2">
      <c r="O32" s="121" t="str">
        <f>CONCATENATE("Surabaya, ",__identitas_tgl_capaian)</f>
        <v>Surabaya, 31 Desember 2023</v>
      </c>
    </row>
    <row r="33" spans="15:31" x14ac:dyDescent="0.2">
      <c r="O33" s="209" t="s">
        <v>710</v>
      </c>
      <c r="AE33" s="209"/>
    </row>
    <row r="34" spans="15:31" x14ac:dyDescent="0.2">
      <c r="O34" s="209"/>
      <c r="AE34" s="209"/>
    </row>
    <row r="35" spans="15:31" x14ac:dyDescent="0.2">
      <c r="O35" s="209"/>
      <c r="AE35" s="209"/>
    </row>
    <row r="36" spans="15:31" x14ac:dyDescent="0.2">
      <c r="O36" s="209"/>
      <c r="AE36" s="209"/>
    </row>
    <row r="37" spans="15:31" x14ac:dyDescent="0.2">
      <c r="O37" s="209" t="str">
        <f>__penilai_nama</f>
        <v>Ari Eko Wardoyo, S.T., M.Kom.</v>
      </c>
      <c r="AE37" s="209"/>
    </row>
    <row r="38" spans="15:31" x14ac:dyDescent="0.2">
      <c r="O38" s="209" t="str">
        <f>CONCATENATE("NIP/NPK ",__penilai_nip)</f>
        <v>NIP/NPK 197502142005011001</v>
      </c>
      <c r="AE38" s="209"/>
    </row>
  </sheetData>
  <mergeCells count="17">
    <mergeCell ref="AF10:AF11"/>
    <mergeCell ref="B29:AE30"/>
    <mergeCell ref="B10:B11"/>
    <mergeCell ref="C10:C11"/>
    <mergeCell ref="D10:D11"/>
    <mergeCell ref="E10:J10"/>
    <mergeCell ref="E11:F11"/>
    <mergeCell ref="H11:I11"/>
    <mergeCell ref="K10:K11"/>
    <mergeCell ref="L10:Q10"/>
    <mergeCell ref="L11:M11"/>
    <mergeCell ref="O11:P11"/>
    <mergeCell ref="R10:AD11"/>
    <mergeCell ref="AE10:AE11"/>
    <mergeCell ref="C26:AF26"/>
    <mergeCell ref="D27:AE27"/>
    <mergeCell ref="D28:AE28"/>
  </mergeCells>
  <printOptions horizontalCentered="1"/>
  <pageMargins left="0.7" right="0.7" top="0.75" bottom="0.75" header="0.3" footer="0.3"/>
  <pageSetup paperSize="9" scale="66" orientation="landscape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/>
  </sheetPr>
  <dimension ref="B1:T53"/>
  <sheetViews>
    <sheetView tabSelected="1" zoomScale="107" zoomScaleNormal="90" zoomScaleSheetLayoutView="100" workbookViewId="0">
      <selection activeCell="B17" sqref="B17:I17"/>
    </sheetView>
  </sheetViews>
  <sheetFormatPr baseColWidth="10" defaultColWidth="8.83203125" defaultRowHeight="14" x14ac:dyDescent="0.2"/>
  <cols>
    <col min="1" max="1" width="0.83203125" style="173" customWidth="1"/>
    <col min="2" max="2" width="4.6640625" style="173" customWidth="1"/>
    <col min="3" max="3" width="19.1640625" style="173" customWidth="1"/>
    <col min="4" max="4" width="14.83203125" style="173" customWidth="1"/>
    <col min="5" max="6" width="10.6640625" style="173" customWidth="1"/>
    <col min="7" max="7" width="2.6640625" style="173" customWidth="1"/>
    <col min="8" max="8" width="10.6640625" style="173" customWidth="1"/>
    <col min="9" max="9" width="11.5" style="173" customWidth="1"/>
    <col min="10" max="10" width="2.33203125" style="173" customWidth="1"/>
    <col min="11" max="11" width="4.6640625" style="173" customWidth="1"/>
    <col min="12" max="14" width="9.1640625" style="173"/>
    <col min="15" max="15" width="11" style="173" customWidth="1"/>
    <col min="16" max="16" width="10.33203125" style="173" customWidth="1"/>
    <col min="17" max="17" width="9.1640625" style="173"/>
    <col min="18" max="19" width="9" style="173" customWidth="1"/>
    <col min="20" max="20" width="11.1640625" style="173" customWidth="1"/>
    <col min="21" max="21" width="2.1640625" style="173" customWidth="1"/>
    <col min="22" max="256" width="9.1640625" style="173"/>
    <col min="257" max="257" width="0.83203125" style="173" customWidth="1"/>
    <col min="258" max="258" width="4.6640625" style="173" customWidth="1"/>
    <col min="259" max="259" width="19.1640625" style="173" customWidth="1"/>
    <col min="260" max="260" width="14.83203125" style="173" customWidth="1"/>
    <col min="261" max="261" width="13.6640625" style="173" customWidth="1"/>
    <col min="262" max="262" width="11.5" style="173" customWidth="1"/>
    <col min="263" max="263" width="4.5" style="173" customWidth="1"/>
    <col min="264" max="264" width="13.33203125" style="173" customWidth="1"/>
    <col min="265" max="265" width="15.33203125" style="173" customWidth="1"/>
    <col min="266" max="266" width="4.5" style="173" customWidth="1"/>
    <col min="267" max="267" width="4.6640625" style="173" customWidth="1"/>
    <col min="268" max="270" width="9.1640625" style="173"/>
    <col min="271" max="271" width="13.83203125" style="173" customWidth="1"/>
    <col min="272" max="272" width="11.5" style="173" customWidth="1"/>
    <col min="273" max="275" width="9.1640625" style="173"/>
    <col min="276" max="276" width="11.6640625" style="173" customWidth="1"/>
    <col min="277" max="277" width="2.1640625" style="173" customWidth="1"/>
    <col min="278" max="512" width="9.1640625" style="173"/>
    <col min="513" max="513" width="0.83203125" style="173" customWidth="1"/>
    <col min="514" max="514" width="4.6640625" style="173" customWidth="1"/>
    <col min="515" max="515" width="19.1640625" style="173" customWidth="1"/>
    <col min="516" max="516" width="14.83203125" style="173" customWidth="1"/>
    <col min="517" max="517" width="13.6640625" style="173" customWidth="1"/>
    <col min="518" max="518" width="11.5" style="173" customWidth="1"/>
    <col min="519" max="519" width="4.5" style="173" customWidth="1"/>
    <col min="520" max="520" width="13.33203125" style="173" customWidth="1"/>
    <col min="521" max="521" width="15.33203125" style="173" customWidth="1"/>
    <col min="522" max="522" width="4.5" style="173" customWidth="1"/>
    <col min="523" max="523" width="4.6640625" style="173" customWidth="1"/>
    <col min="524" max="526" width="9.1640625" style="173"/>
    <col min="527" max="527" width="13.83203125" style="173" customWidth="1"/>
    <col min="528" max="528" width="11.5" style="173" customWidth="1"/>
    <col min="529" max="531" width="9.1640625" style="173"/>
    <col min="532" max="532" width="11.6640625" style="173" customWidth="1"/>
    <col min="533" max="533" width="2.1640625" style="173" customWidth="1"/>
    <col min="534" max="768" width="9.1640625" style="173"/>
    <col min="769" max="769" width="0.83203125" style="173" customWidth="1"/>
    <col min="770" max="770" width="4.6640625" style="173" customWidth="1"/>
    <col min="771" max="771" width="19.1640625" style="173" customWidth="1"/>
    <col min="772" max="772" width="14.83203125" style="173" customWidth="1"/>
    <col min="773" max="773" width="13.6640625" style="173" customWidth="1"/>
    <col min="774" max="774" width="11.5" style="173" customWidth="1"/>
    <col min="775" max="775" width="4.5" style="173" customWidth="1"/>
    <col min="776" max="776" width="13.33203125" style="173" customWidth="1"/>
    <col min="777" max="777" width="15.33203125" style="173" customWidth="1"/>
    <col min="778" max="778" width="4.5" style="173" customWidth="1"/>
    <col min="779" max="779" width="4.6640625" style="173" customWidth="1"/>
    <col min="780" max="782" width="9.1640625" style="173"/>
    <col min="783" max="783" width="13.83203125" style="173" customWidth="1"/>
    <col min="784" max="784" width="11.5" style="173" customWidth="1"/>
    <col min="785" max="787" width="9.1640625" style="173"/>
    <col min="788" max="788" width="11.6640625" style="173" customWidth="1"/>
    <col min="789" max="789" width="2.1640625" style="173" customWidth="1"/>
    <col min="790" max="1024" width="9.1640625" style="173"/>
    <col min="1025" max="1025" width="0.83203125" style="173" customWidth="1"/>
    <col min="1026" max="1026" width="4.6640625" style="173" customWidth="1"/>
    <col min="1027" max="1027" width="19.1640625" style="173" customWidth="1"/>
    <col min="1028" max="1028" width="14.83203125" style="173" customWidth="1"/>
    <col min="1029" max="1029" width="13.6640625" style="173" customWidth="1"/>
    <col min="1030" max="1030" width="11.5" style="173" customWidth="1"/>
    <col min="1031" max="1031" width="4.5" style="173" customWidth="1"/>
    <col min="1032" max="1032" width="13.33203125" style="173" customWidth="1"/>
    <col min="1033" max="1033" width="15.33203125" style="173" customWidth="1"/>
    <col min="1034" max="1034" width="4.5" style="173" customWidth="1"/>
    <col min="1035" max="1035" width="4.6640625" style="173" customWidth="1"/>
    <col min="1036" max="1038" width="9.1640625" style="173"/>
    <col min="1039" max="1039" width="13.83203125" style="173" customWidth="1"/>
    <col min="1040" max="1040" width="11.5" style="173" customWidth="1"/>
    <col min="1041" max="1043" width="9.1640625" style="173"/>
    <col min="1044" max="1044" width="11.6640625" style="173" customWidth="1"/>
    <col min="1045" max="1045" width="2.1640625" style="173" customWidth="1"/>
    <col min="1046" max="1280" width="9.1640625" style="173"/>
    <col min="1281" max="1281" width="0.83203125" style="173" customWidth="1"/>
    <col min="1282" max="1282" width="4.6640625" style="173" customWidth="1"/>
    <col min="1283" max="1283" width="19.1640625" style="173" customWidth="1"/>
    <col min="1284" max="1284" width="14.83203125" style="173" customWidth="1"/>
    <col min="1285" max="1285" width="13.6640625" style="173" customWidth="1"/>
    <col min="1286" max="1286" width="11.5" style="173" customWidth="1"/>
    <col min="1287" max="1287" width="4.5" style="173" customWidth="1"/>
    <col min="1288" max="1288" width="13.33203125" style="173" customWidth="1"/>
    <col min="1289" max="1289" width="15.33203125" style="173" customWidth="1"/>
    <col min="1290" max="1290" width="4.5" style="173" customWidth="1"/>
    <col min="1291" max="1291" width="4.6640625" style="173" customWidth="1"/>
    <col min="1292" max="1294" width="9.1640625" style="173"/>
    <col min="1295" max="1295" width="13.83203125" style="173" customWidth="1"/>
    <col min="1296" max="1296" width="11.5" style="173" customWidth="1"/>
    <col min="1297" max="1299" width="9.1640625" style="173"/>
    <col min="1300" max="1300" width="11.6640625" style="173" customWidth="1"/>
    <col min="1301" max="1301" width="2.1640625" style="173" customWidth="1"/>
    <col min="1302" max="1536" width="9.1640625" style="173"/>
    <col min="1537" max="1537" width="0.83203125" style="173" customWidth="1"/>
    <col min="1538" max="1538" width="4.6640625" style="173" customWidth="1"/>
    <col min="1539" max="1539" width="19.1640625" style="173" customWidth="1"/>
    <col min="1540" max="1540" width="14.83203125" style="173" customWidth="1"/>
    <col min="1541" max="1541" width="13.6640625" style="173" customWidth="1"/>
    <col min="1542" max="1542" width="11.5" style="173" customWidth="1"/>
    <col min="1543" max="1543" width="4.5" style="173" customWidth="1"/>
    <col min="1544" max="1544" width="13.33203125" style="173" customWidth="1"/>
    <col min="1545" max="1545" width="15.33203125" style="173" customWidth="1"/>
    <col min="1546" max="1546" width="4.5" style="173" customWidth="1"/>
    <col min="1547" max="1547" width="4.6640625" style="173" customWidth="1"/>
    <col min="1548" max="1550" width="9.1640625" style="173"/>
    <col min="1551" max="1551" width="13.83203125" style="173" customWidth="1"/>
    <col min="1552" max="1552" width="11.5" style="173" customWidth="1"/>
    <col min="1553" max="1555" width="9.1640625" style="173"/>
    <col min="1556" max="1556" width="11.6640625" style="173" customWidth="1"/>
    <col min="1557" max="1557" width="2.1640625" style="173" customWidth="1"/>
    <col min="1558" max="1792" width="9.1640625" style="173"/>
    <col min="1793" max="1793" width="0.83203125" style="173" customWidth="1"/>
    <col min="1794" max="1794" width="4.6640625" style="173" customWidth="1"/>
    <col min="1795" max="1795" width="19.1640625" style="173" customWidth="1"/>
    <col min="1796" max="1796" width="14.83203125" style="173" customWidth="1"/>
    <col min="1797" max="1797" width="13.6640625" style="173" customWidth="1"/>
    <col min="1798" max="1798" width="11.5" style="173" customWidth="1"/>
    <col min="1799" max="1799" width="4.5" style="173" customWidth="1"/>
    <col min="1800" max="1800" width="13.33203125" style="173" customWidth="1"/>
    <col min="1801" max="1801" width="15.33203125" style="173" customWidth="1"/>
    <col min="1802" max="1802" width="4.5" style="173" customWidth="1"/>
    <col min="1803" max="1803" width="4.6640625" style="173" customWidth="1"/>
    <col min="1804" max="1806" width="9.1640625" style="173"/>
    <col min="1807" max="1807" width="13.83203125" style="173" customWidth="1"/>
    <col min="1808" max="1808" width="11.5" style="173" customWidth="1"/>
    <col min="1809" max="1811" width="9.1640625" style="173"/>
    <col min="1812" max="1812" width="11.6640625" style="173" customWidth="1"/>
    <col min="1813" max="1813" width="2.1640625" style="173" customWidth="1"/>
    <col min="1814" max="2048" width="9.1640625" style="173"/>
    <col min="2049" max="2049" width="0.83203125" style="173" customWidth="1"/>
    <col min="2050" max="2050" width="4.6640625" style="173" customWidth="1"/>
    <col min="2051" max="2051" width="19.1640625" style="173" customWidth="1"/>
    <col min="2052" max="2052" width="14.83203125" style="173" customWidth="1"/>
    <col min="2053" max="2053" width="13.6640625" style="173" customWidth="1"/>
    <col min="2054" max="2054" width="11.5" style="173" customWidth="1"/>
    <col min="2055" max="2055" width="4.5" style="173" customWidth="1"/>
    <col min="2056" max="2056" width="13.33203125" style="173" customWidth="1"/>
    <col min="2057" max="2057" width="15.33203125" style="173" customWidth="1"/>
    <col min="2058" max="2058" width="4.5" style="173" customWidth="1"/>
    <col min="2059" max="2059" width="4.6640625" style="173" customWidth="1"/>
    <col min="2060" max="2062" width="9.1640625" style="173"/>
    <col min="2063" max="2063" width="13.83203125" style="173" customWidth="1"/>
    <col min="2064" max="2064" width="11.5" style="173" customWidth="1"/>
    <col min="2065" max="2067" width="9.1640625" style="173"/>
    <col min="2068" max="2068" width="11.6640625" style="173" customWidth="1"/>
    <col min="2069" max="2069" width="2.1640625" style="173" customWidth="1"/>
    <col min="2070" max="2304" width="9.1640625" style="173"/>
    <col min="2305" max="2305" width="0.83203125" style="173" customWidth="1"/>
    <col min="2306" max="2306" width="4.6640625" style="173" customWidth="1"/>
    <col min="2307" max="2307" width="19.1640625" style="173" customWidth="1"/>
    <col min="2308" max="2308" width="14.83203125" style="173" customWidth="1"/>
    <col min="2309" max="2309" width="13.6640625" style="173" customWidth="1"/>
    <col min="2310" max="2310" width="11.5" style="173" customWidth="1"/>
    <col min="2311" max="2311" width="4.5" style="173" customWidth="1"/>
    <col min="2312" max="2312" width="13.33203125" style="173" customWidth="1"/>
    <col min="2313" max="2313" width="15.33203125" style="173" customWidth="1"/>
    <col min="2314" max="2314" width="4.5" style="173" customWidth="1"/>
    <col min="2315" max="2315" width="4.6640625" style="173" customWidth="1"/>
    <col min="2316" max="2318" width="9.1640625" style="173"/>
    <col min="2319" max="2319" width="13.83203125" style="173" customWidth="1"/>
    <col min="2320" max="2320" width="11.5" style="173" customWidth="1"/>
    <col min="2321" max="2323" width="9.1640625" style="173"/>
    <col min="2324" max="2324" width="11.6640625" style="173" customWidth="1"/>
    <col min="2325" max="2325" width="2.1640625" style="173" customWidth="1"/>
    <col min="2326" max="2560" width="9.1640625" style="173"/>
    <col min="2561" max="2561" width="0.83203125" style="173" customWidth="1"/>
    <col min="2562" max="2562" width="4.6640625" style="173" customWidth="1"/>
    <col min="2563" max="2563" width="19.1640625" style="173" customWidth="1"/>
    <col min="2564" max="2564" width="14.83203125" style="173" customWidth="1"/>
    <col min="2565" max="2565" width="13.6640625" style="173" customWidth="1"/>
    <col min="2566" max="2566" width="11.5" style="173" customWidth="1"/>
    <col min="2567" max="2567" width="4.5" style="173" customWidth="1"/>
    <col min="2568" max="2568" width="13.33203125" style="173" customWidth="1"/>
    <col min="2569" max="2569" width="15.33203125" style="173" customWidth="1"/>
    <col min="2570" max="2570" width="4.5" style="173" customWidth="1"/>
    <col min="2571" max="2571" width="4.6640625" style="173" customWidth="1"/>
    <col min="2572" max="2574" width="9.1640625" style="173"/>
    <col min="2575" max="2575" width="13.83203125" style="173" customWidth="1"/>
    <col min="2576" max="2576" width="11.5" style="173" customWidth="1"/>
    <col min="2577" max="2579" width="9.1640625" style="173"/>
    <col min="2580" max="2580" width="11.6640625" style="173" customWidth="1"/>
    <col min="2581" max="2581" width="2.1640625" style="173" customWidth="1"/>
    <col min="2582" max="2816" width="9.1640625" style="173"/>
    <col min="2817" max="2817" width="0.83203125" style="173" customWidth="1"/>
    <col min="2818" max="2818" width="4.6640625" style="173" customWidth="1"/>
    <col min="2819" max="2819" width="19.1640625" style="173" customWidth="1"/>
    <col min="2820" max="2820" width="14.83203125" style="173" customWidth="1"/>
    <col min="2821" max="2821" width="13.6640625" style="173" customWidth="1"/>
    <col min="2822" max="2822" width="11.5" style="173" customWidth="1"/>
    <col min="2823" max="2823" width="4.5" style="173" customWidth="1"/>
    <col min="2824" max="2824" width="13.33203125" style="173" customWidth="1"/>
    <col min="2825" max="2825" width="15.33203125" style="173" customWidth="1"/>
    <col min="2826" max="2826" width="4.5" style="173" customWidth="1"/>
    <col min="2827" max="2827" width="4.6640625" style="173" customWidth="1"/>
    <col min="2828" max="2830" width="9.1640625" style="173"/>
    <col min="2831" max="2831" width="13.83203125" style="173" customWidth="1"/>
    <col min="2832" max="2832" width="11.5" style="173" customWidth="1"/>
    <col min="2833" max="2835" width="9.1640625" style="173"/>
    <col min="2836" max="2836" width="11.6640625" style="173" customWidth="1"/>
    <col min="2837" max="2837" width="2.1640625" style="173" customWidth="1"/>
    <col min="2838" max="3072" width="9.1640625" style="173"/>
    <col min="3073" max="3073" width="0.83203125" style="173" customWidth="1"/>
    <col min="3074" max="3074" width="4.6640625" style="173" customWidth="1"/>
    <col min="3075" max="3075" width="19.1640625" style="173" customWidth="1"/>
    <col min="3076" max="3076" width="14.83203125" style="173" customWidth="1"/>
    <col min="3077" max="3077" width="13.6640625" style="173" customWidth="1"/>
    <col min="3078" max="3078" width="11.5" style="173" customWidth="1"/>
    <col min="3079" max="3079" width="4.5" style="173" customWidth="1"/>
    <col min="3080" max="3080" width="13.33203125" style="173" customWidth="1"/>
    <col min="3081" max="3081" width="15.33203125" style="173" customWidth="1"/>
    <col min="3082" max="3082" width="4.5" style="173" customWidth="1"/>
    <col min="3083" max="3083" width="4.6640625" style="173" customWidth="1"/>
    <col min="3084" max="3086" width="9.1640625" style="173"/>
    <col min="3087" max="3087" width="13.83203125" style="173" customWidth="1"/>
    <col min="3088" max="3088" width="11.5" style="173" customWidth="1"/>
    <col min="3089" max="3091" width="9.1640625" style="173"/>
    <col min="3092" max="3092" width="11.6640625" style="173" customWidth="1"/>
    <col min="3093" max="3093" width="2.1640625" style="173" customWidth="1"/>
    <col min="3094" max="3328" width="9.1640625" style="173"/>
    <col min="3329" max="3329" width="0.83203125" style="173" customWidth="1"/>
    <col min="3330" max="3330" width="4.6640625" style="173" customWidth="1"/>
    <col min="3331" max="3331" width="19.1640625" style="173" customWidth="1"/>
    <col min="3332" max="3332" width="14.83203125" style="173" customWidth="1"/>
    <col min="3333" max="3333" width="13.6640625" style="173" customWidth="1"/>
    <col min="3334" max="3334" width="11.5" style="173" customWidth="1"/>
    <col min="3335" max="3335" width="4.5" style="173" customWidth="1"/>
    <col min="3336" max="3336" width="13.33203125" style="173" customWidth="1"/>
    <col min="3337" max="3337" width="15.33203125" style="173" customWidth="1"/>
    <col min="3338" max="3338" width="4.5" style="173" customWidth="1"/>
    <col min="3339" max="3339" width="4.6640625" style="173" customWidth="1"/>
    <col min="3340" max="3342" width="9.1640625" style="173"/>
    <col min="3343" max="3343" width="13.83203125" style="173" customWidth="1"/>
    <col min="3344" max="3344" width="11.5" style="173" customWidth="1"/>
    <col min="3345" max="3347" width="9.1640625" style="173"/>
    <col min="3348" max="3348" width="11.6640625" style="173" customWidth="1"/>
    <col min="3349" max="3349" width="2.1640625" style="173" customWidth="1"/>
    <col min="3350" max="3584" width="9.1640625" style="173"/>
    <col min="3585" max="3585" width="0.83203125" style="173" customWidth="1"/>
    <col min="3586" max="3586" width="4.6640625" style="173" customWidth="1"/>
    <col min="3587" max="3587" width="19.1640625" style="173" customWidth="1"/>
    <col min="3588" max="3588" width="14.83203125" style="173" customWidth="1"/>
    <col min="3589" max="3589" width="13.6640625" style="173" customWidth="1"/>
    <col min="3590" max="3590" width="11.5" style="173" customWidth="1"/>
    <col min="3591" max="3591" width="4.5" style="173" customWidth="1"/>
    <col min="3592" max="3592" width="13.33203125" style="173" customWidth="1"/>
    <col min="3593" max="3593" width="15.33203125" style="173" customWidth="1"/>
    <col min="3594" max="3594" width="4.5" style="173" customWidth="1"/>
    <col min="3595" max="3595" width="4.6640625" style="173" customWidth="1"/>
    <col min="3596" max="3598" width="9.1640625" style="173"/>
    <col min="3599" max="3599" width="13.83203125" style="173" customWidth="1"/>
    <col min="3600" max="3600" width="11.5" style="173" customWidth="1"/>
    <col min="3601" max="3603" width="9.1640625" style="173"/>
    <col min="3604" max="3604" width="11.6640625" style="173" customWidth="1"/>
    <col min="3605" max="3605" width="2.1640625" style="173" customWidth="1"/>
    <col min="3606" max="3840" width="9.1640625" style="173"/>
    <col min="3841" max="3841" width="0.83203125" style="173" customWidth="1"/>
    <col min="3842" max="3842" width="4.6640625" style="173" customWidth="1"/>
    <col min="3843" max="3843" width="19.1640625" style="173" customWidth="1"/>
    <col min="3844" max="3844" width="14.83203125" style="173" customWidth="1"/>
    <col min="3845" max="3845" width="13.6640625" style="173" customWidth="1"/>
    <col min="3846" max="3846" width="11.5" style="173" customWidth="1"/>
    <col min="3847" max="3847" width="4.5" style="173" customWidth="1"/>
    <col min="3848" max="3848" width="13.33203125" style="173" customWidth="1"/>
    <col min="3849" max="3849" width="15.33203125" style="173" customWidth="1"/>
    <col min="3850" max="3850" width="4.5" style="173" customWidth="1"/>
    <col min="3851" max="3851" width="4.6640625" style="173" customWidth="1"/>
    <col min="3852" max="3854" width="9.1640625" style="173"/>
    <col min="3855" max="3855" width="13.83203125" style="173" customWidth="1"/>
    <col min="3856" max="3856" width="11.5" style="173" customWidth="1"/>
    <col min="3857" max="3859" width="9.1640625" style="173"/>
    <col min="3860" max="3860" width="11.6640625" style="173" customWidth="1"/>
    <col min="3861" max="3861" width="2.1640625" style="173" customWidth="1"/>
    <col min="3862" max="4096" width="9.1640625" style="173"/>
    <col min="4097" max="4097" width="0.83203125" style="173" customWidth="1"/>
    <col min="4098" max="4098" width="4.6640625" style="173" customWidth="1"/>
    <col min="4099" max="4099" width="19.1640625" style="173" customWidth="1"/>
    <col min="4100" max="4100" width="14.83203125" style="173" customWidth="1"/>
    <col min="4101" max="4101" width="13.6640625" style="173" customWidth="1"/>
    <col min="4102" max="4102" width="11.5" style="173" customWidth="1"/>
    <col min="4103" max="4103" width="4.5" style="173" customWidth="1"/>
    <col min="4104" max="4104" width="13.33203125" style="173" customWidth="1"/>
    <col min="4105" max="4105" width="15.33203125" style="173" customWidth="1"/>
    <col min="4106" max="4106" width="4.5" style="173" customWidth="1"/>
    <col min="4107" max="4107" width="4.6640625" style="173" customWidth="1"/>
    <col min="4108" max="4110" width="9.1640625" style="173"/>
    <col min="4111" max="4111" width="13.83203125" style="173" customWidth="1"/>
    <col min="4112" max="4112" width="11.5" style="173" customWidth="1"/>
    <col min="4113" max="4115" width="9.1640625" style="173"/>
    <col min="4116" max="4116" width="11.6640625" style="173" customWidth="1"/>
    <col min="4117" max="4117" width="2.1640625" style="173" customWidth="1"/>
    <col min="4118" max="4352" width="9.1640625" style="173"/>
    <col min="4353" max="4353" width="0.83203125" style="173" customWidth="1"/>
    <col min="4354" max="4354" width="4.6640625" style="173" customWidth="1"/>
    <col min="4355" max="4355" width="19.1640625" style="173" customWidth="1"/>
    <col min="4356" max="4356" width="14.83203125" style="173" customWidth="1"/>
    <col min="4357" max="4357" width="13.6640625" style="173" customWidth="1"/>
    <col min="4358" max="4358" width="11.5" style="173" customWidth="1"/>
    <col min="4359" max="4359" width="4.5" style="173" customWidth="1"/>
    <col min="4360" max="4360" width="13.33203125" style="173" customWidth="1"/>
    <col min="4361" max="4361" width="15.33203125" style="173" customWidth="1"/>
    <col min="4362" max="4362" width="4.5" style="173" customWidth="1"/>
    <col min="4363" max="4363" width="4.6640625" style="173" customWidth="1"/>
    <col min="4364" max="4366" width="9.1640625" style="173"/>
    <col min="4367" max="4367" width="13.83203125" style="173" customWidth="1"/>
    <col min="4368" max="4368" width="11.5" style="173" customWidth="1"/>
    <col min="4369" max="4371" width="9.1640625" style="173"/>
    <col min="4372" max="4372" width="11.6640625" style="173" customWidth="1"/>
    <col min="4373" max="4373" width="2.1640625" style="173" customWidth="1"/>
    <col min="4374" max="4608" width="9.1640625" style="173"/>
    <col min="4609" max="4609" width="0.83203125" style="173" customWidth="1"/>
    <col min="4610" max="4610" width="4.6640625" style="173" customWidth="1"/>
    <col min="4611" max="4611" width="19.1640625" style="173" customWidth="1"/>
    <col min="4612" max="4612" width="14.83203125" style="173" customWidth="1"/>
    <col min="4613" max="4613" width="13.6640625" style="173" customWidth="1"/>
    <col min="4614" max="4614" width="11.5" style="173" customWidth="1"/>
    <col min="4615" max="4615" width="4.5" style="173" customWidth="1"/>
    <col min="4616" max="4616" width="13.33203125" style="173" customWidth="1"/>
    <col min="4617" max="4617" width="15.33203125" style="173" customWidth="1"/>
    <col min="4618" max="4618" width="4.5" style="173" customWidth="1"/>
    <col min="4619" max="4619" width="4.6640625" style="173" customWidth="1"/>
    <col min="4620" max="4622" width="9.1640625" style="173"/>
    <col min="4623" max="4623" width="13.83203125" style="173" customWidth="1"/>
    <col min="4624" max="4624" width="11.5" style="173" customWidth="1"/>
    <col min="4625" max="4627" width="9.1640625" style="173"/>
    <col min="4628" max="4628" width="11.6640625" style="173" customWidth="1"/>
    <col min="4629" max="4629" width="2.1640625" style="173" customWidth="1"/>
    <col min="4630" max="4864" width="9.1640625" style="173"/>
    <col min="4865" max="4865" width="0.83203125" style="173" customWidth="1"/>
    <col min="4866" max="4866" width="4.6640625" style="173" customWidth="1"/>
    <col min="4867" max="4867" width="19.1640625" style="173" customWidth="1"/>
    <col min="4868" max="4868" width="14.83203125" style="173" customWidth="1"/>
    <col min="4869" max="4869" width="13.6640625" style="173" customWidth="1"/>
    <col min="4870" max="4870" width="11.5" style="173" customWidth="1"/>
    <col min="4871" max="4871" width="4.5" style="173" customWidth="1"/>
    <col min="4872" max="4872" width="13.33203125" style="173" customWidth="1"/>
    <col min="4873" max="4873" width="15.33203125" style="173" customWidth="1"/>
    <col min="4874" max="4874" width="4.5" style="173" customWidth="1"/>
    <col min="4875" max="4875" width="4.6640625" style="173" customWidth="1"/>
    <col min="4876" max="4878" width="9.1640625" style="173"/>
    <col min="4879" max="4879" width="13.83203125" style="173" customWidth="1"/>
    <col min="4880" max="4880" width="11.5" style="173" customWidth="1"/>
    <col min="4881" max="4883" width="9.1640625" style="173"/>
    <col min="4884" max="4884" width="11.6640625" style="173" customWidth="1"/>
    <col min="4885" max="4885" width="2.1640625" style="173" customWidth="1"/>
    <col min="4886" max="5120" width="9.1640625" style="173"/>
    <col min="5121" max="5121" width="0.83203125" style="173" customWidth="1"/>
    <col min="5122" max="5122" width="4.6640625" style="173" customWidth="1"/>
    <col min="5123" max="5123" width="19.1640625" style="173" customWidth="1"/>
    <col min="5124" max="5124" width="14.83203125" style="173" customWidth="1"/>
    <col min="5125" max="5125" width="13.6640625" style="173" customWidth="1"/>
    <col min="5126" max="5126" width="11.5" style="173" customWidth="1"/>
    <col min="5127" max="5127" width="4.5" style="173" customWidth="1"/>
    <col min="5128" max="5128" width="13.33203125" style="173" customWidth="1"/>
    <col min="5129" max="5129" width="15.33203125" style="173" customWidth="1"/>
    <col min="5130" max="5130" width="4.5" style="173" customWidth="1"/>
    <col min="5131" max="5131" width="4.6640625" style="173" customWidth="1"/>
    <col min="5132" max="5134" width="9.1640625" style="173"/>
    <col min="5135" max="5135" width="13.83203125" style="173" customWidth="1"/>
    <col min="5136" max="5136" width="11.5" style="173" customWidth="1"/>
    <col min="5137" max="5139" width="9.1640625" style="173"/>
    <col min="5140" max="5140" width="11.6640625" style="173" customWidth="1"/>
    <col min="5141" max="5141" width="2.1640625" style="173" customWidth="1"/>
    <col min="5142" max="5376" width="9.1640625" style="173"/>
    <col min="5377" max="5377" width="0.83203125" style="173" customWidth="1"/>
    <col min="5378" max="5378" width="4.6640625" style="173" customWidth="1"/>
    <col min="5379" max="5379" width="19.1640625" style="173" customWidth="1"/>
    <col min="5380" max="5380" width="14.83203125" style="173" customWidth="1"/>
    <col min="5381" max="5381" width="13.6640625" style="173" customWidth="1"/>
    <col min="5382" max="5382" width="11.5" style="173" customWidth="1"/>
    <col min="5383" max="5383" width="4.5" style="173" customWidth="1"/>
    <col min="5384" max="5384" width="13.33203125" style="173" customWidth="1"/>
    <col min="5385" max="5385" width="15.33203125" style="173" customWidth="1"/>
    <col min="5386" max="5386" width="4.5" style="173" customWidth="1"/>
    <col min="5387" max="5387" width="4.6640625" style="173" customWidth="1"/>
    <col min="5388" max="5390" width="9.1640625" style="173"/>
    <col min="5391" max="5391" width="13.83203125" style="173" customWidth="1"/>
    <col min="5392" max="5392" width="11.5" style="173" customWidth="1"/>
    <col min="5393" max="5395" width="9.1640625" style="173"/>
    <col min="5396" max="5396" width="11.6640625" style="173" customWidth="1"/>
    <col min="5397" max="5397" width="2.1640625" style="173" customWidth="1"/>
    <col min="5398" max="5632" width="9.1640625" style="173"/>
    <col min="5633" max="5633" width="0.83203125" style="173" customWidth="1"/>
    <col min="5634" max="5634" width="4.6640625" style="173" customWidth="1"/>
    <col min="5635" max="5635" width="19.1640625" style="173" customWidth="1"/>
    <col min="5636" max="5636" width="14.83203125" style="173" customWidth="1"/>
    <col min="5637" max="5637" width="13.6640625" style="173" customWidth="1"/>
    <col min="5638" max="5638" width="11.5" style="173" customWidth="1"/>
    <col min="5639" max="5639" width="4.5" style="173" customWidth="1"/>
    <col min="5640" max="5640" width="13.33203125" style="173" customWidth="1"/>
    <col min="5641" max="5641" width="15.33203125" style="173" customWidth="1"/>
    <col min="5642" max="5642" width="4.5" style="173" customWidth="1"/>
    <col min="5643" max="5643" width="4.6640625" style="173" customWidth="1"/>
    <col min="5644" max="5646" width="9.1640625" style="173"/>
    <col min="5647" max="5647" width="13.83203125" style="173" customWidth="1"/>
    <col min="5648" max="5648" width="11.5" style="173" customWidth="1"/>
    <col min="5649" max="5651" width="9.1640625" style="173"/>
    <col min="5652" max="5652" width="11.6640625" style="173" customWidth="1"/>
    <col min="5653" max="5653" width="2.1640625" style="173" customWidth="1"/>
    <col min="5654" max="5888" width="9.1640625" style="173"/>
    <col min="5889" max="5889" width="0.83203125" style="173" customWidth="1"/>
    <col min="5890" max="5890" width="4.6640625" style="173" customWidth="1"/>
    <col min="5891" max="5891" width="19.1640625" style="173" customWidth="1"/>
    <col min="5892" max="5892" width="14.83203125" style="173" customWidth="1"/>
    <col min="5893" max="5893" width="13.6640625" style="173" customWidth="1"/>
    <col min="5894" max="5894" width="11.5" style="173" customWidth="1"/>
    <col min="5895" max="5895" width="4.5" style="173" customWidth="1"/>
    <col min="5896" max="5896" width="13.33203125" style="173" customWidth="1"/>
    <col min="5897" max="5897" width="15.33203125" style="173" customWidth="1"/>
    <col min="5898" max="5898" width="4.5" style="173" customWidth="1"/>
    <col min="5899" max="5899" width="4.6640625" style="173" customWidth="1"/>
    <col min="5900" max="5902" width="9.1640625" style="173"/>
    <col min="5903" max="5903" width="13.83203125" style="173" customWidth="1"/>
    <col min="5904" max="5904" width="11.5" style="173" customWidth="1"/>
    <col min="5905" max="5907" width="9.1640625" style="173"/>
    <col min="5908" max="5908" width="11.6640625" style="173" customWidth="1"/>
    <col min="5909" max="5909" width="2.1640625" style="173" customWidth="1"/>
    <col min="5910" max="6144" width="9.1640625" style="173"/>
    <col min="6145" max="6145" width="0.83203125" style="173" customWidth="1"/>
    <col min="6146" max="6146" width="4.6640625" style="173" customWidth="1"/>
    <col min="6147" max="6147" width="19.1640625" style="173" customWidth="1"/>
    <col min="6148" max="6148" width="14.83203125" style="173" customWidth="1"/>
    <col min="6149" max="6149" width="13.6640625" style="173" customWidth="1"/>
    <col min="6150" max="6150" width="11.5" style="173" customWidth="1"/>
    <col min="6151" max="6151" width="4.5" style="173" customWidth="1"/>
    <col min="6152" max="6152" width="13.33203125" style="173" customWidth="1"/>
    <col min="6153" max="6153" width="15.33203125" style="173" customWidth="1"/>
    <col min="6154" max="6154" width="4.5" style="173" customWidth="1"/>
    <col min="6155" max="6155" width="4.6640625" style="173" customWidth="1"/>
    <col min="6156" max="6158" width="9.1640625" style="173"/>
    <col min="6159" max="6159" width="13.83203125" style="173" customWidth="1"/>
    <col min="6160" max="6160" width="11.5" style="173" customWidth="1"/>
    <col min="6161" max="6163" width="9.1640625" style="173"/>
    <col min="6164" max="6164" width="11.6640625" style="173" customWidth="1"/>
    <col min="6165" max="6165" width="2.1640625" style="173" customWidth="1"/>
    <col min="6166" max="6400" width="9.1640625" style="173"/>
    <col min="6401" max="6401" width="0.83203125" style="173" customWidth="1"/>
    <col min="6402" max="6402" width="4.6640625" style="173" customWidth="1"/>
    <col min="6403" max="6403" width="19.1640625" style="173" customWidth="1"/>
    <col min="6404" max="6404" width="14.83203125" style="173" customWidth="1"/>
    <col min="6405" max="6405" width="13.6640625" style="173" customWidth="1"/>
    <col min="6406" max="6406" width="11.5" style="173" customWidth="1"/>
    <col min="6407" max="6407" width="4.5" style="173" customWidth="1"/>
    <col min="6408" max="6408" width="13.33203125" style="173" customWidth="1"/>
    <col min="6409" max="6409" width="15.33203125" style="173" customWidth="1"/>
    <col min="6410" max="6410" width="4.5" style="173" customWidth="1"/>
    <col min="6411" max="6411" width="4.6640625" style="173" customWidth="1"/>
    <col min="6412" max="6414" width="9.1640625" style="173"/>
    <col min="6415" max="6415" width="13.83203125" style="173" customWidth="1"/>
    <col min="6416" max="6416" width="11.5" style="173" customWidth="1"/>
    <col min="6417" max="6419" width="9.1640625" style="173"/>
    <col min="6420" max="6420" width="11.6640625" style="173" customWidth="1"/>
    <col min="6421" max="6421" width="2.1640625" style="173" customWidth="1"/>
    <col min="6422" max="6656" width="9.1640625" style="173"/>
    <col min="6657" max="6657" width="0.83203125" style="173" customWidth="1"/>
    <col min="6658" max="6658" width="4.6640625" style="173" customWidth="1"/>
    <col min="6659" max="6659" width="19.1640625" style="173" customWidth="1"/>
    <col min="6660" max="6660" width="14.83203125" style="173" customWidth="1"/>
    <col min="6661" max="6661" width="13.6640625" style="173" customWidth="1"/>
    <col min="6662" max="6662" width="11.5" style="173" customWidth="1"/>
    <col min="6663" max="6663" width="4.5" style="173" customWidth="1"/>
    <col min="6664" max="6664" width="13.33203125" style="173" customWidth="1"/>
    <col min="6665" max="6665" width="15.33203125" style="173" customWidth="1"/>
    <col min="6666" max="6666" width="4.5" style="173" customWidth="1"/>
    <col min="6667" max="6667" width="4.6640625" style="173" customWidth="1"/>
    <col min="6668" max="6670" width="9.1640625" style="173"/>
    <col min="6671" max="6671" width="13.83203125" style="173" customWidth="1"/>
    <col min="6672" max="6672" width="11.5" style="173" customWidth="1"/>
    <col min="6673" max="6675" width="9.1640625" style="173"/>
    <col min="6676" max="6676" width="11.6640625" style="173" customWidth="1"/>
    <col min="6677" max="6677" width="2.1640625" style="173" customWidth="1"/>
    <col min="6678" max="6912" width="9.1640625" style="173"/>
    <col min="6913" max="6913" width="0.83203125" style="173" customWidth="1"/>
    <col min="6914" max="6914" width="4.6640625" style="173" customWidth="1"/>
    <col min="6915" max="6915" width="19.1640625" style="173" customWidth="1"/>
    <col min="6916" max="6916" width="14.83203125" style="173" customWidth="1"/>
    <col min="6917" max="6917" width="13.6640625" style="173" customWidth="1"/>
    <col min="6918" max="6918" width="11.5" style="173" customWidth="1"/>
    <col min="6919" max="6919" width="4.5" style="173" customWidth="1"/>
    <col min="6920" max="6920" width="13.33203125" style="173" customWidth="1"/>
    <col min="6921" max="6921" width="15.33203125" style="173" customWidth="1"/>
    <col min="6922" max="6922" width="4.5" style="173" customWidth="1"/>
    <col min="6923" max="6923" width="4.6640625" style="173" customWidth="1"/>
    <col min="6924" max="6926" width="9.1640625" style="173"/>
    <col min="6927" max="6927" width="13.83203125" style="173" customWidth="1"/>
    <col min="6928" max="6928" width="11.5" style="173" customWidth="1"/>
    <col min="6929" max="6931" width="9.1640625" style="173"/>
    <col min="6932" max="6932" width="11.6640625" style="173" customWidth="1"/>
    <col min="6933" max="6933" width="2.1640625" style="173" customWidth="1"/>
    <col min="6934" max="7168" width="9.1640625" style="173"/>
    <col min="7169" max="7169" width="0.83203125" style="173" customWidth="1"/>
    <col min="7170" max="7170" width="4.6640625" style="173" customWidth="1"/>
    <col min="7171" max="7171" width="19.1640625" style="173" customWidth="1"/>
    <col min="7172" max="7172" width="14.83203125" style="173" customWidth="1"/>
    <col min="7173" max="7173" width="13.6640625" style="173" customWidth="1"/>
    <col min="7174" max="7174" width="11.5" style="173" customWidth="1"/>
    <col min="7175" max="7175" width="4.5" style="173" customWidth="1"/>
    <col min="7176" max="7176" width="13.33203125" style="173" customWidth="1"/>
    <col min="7177" max="7177" width="15.33203125" style="173" customWidth="1"/>
    <col min="7178" max="7178" width="4.5" style="173" customWidth="1"/>
    <col min="7179" max="7179" width="4.6640625" style="173" customWidth="1"/>
    <col min="7180" max="7182" width="9.1640625" style="173"/>
    <col min="7183" max="7183" width="13.83203125" style="173" customWidth="1"/>
    <col min="7184" max="7184" width="11.5" style="173" customWidth="1"/>
    <col min="7185" max="7187" width="9.1640625" style="173"/>
    <col min="7188" max="7188" width="11.6640625" style="173" customWidth="1"/>
    <col min="7189" max="7189" width="2.1640625" style="173" customWidth="1"/>
    <col min="7190" max="7424" width="9.1640625" style="173"/>
    <col min="7425" max="7425" width="0.83203125" style="173" customWidth="1"/>
    <col min="7426" max="7426" width="4.6640625" style="173" customWidth="1"/>
    <col min="7427" max="7427" width="19.1640625" style="173" customWidth="1"/>
    <col min="7428" max="7428" width="14.83203125" style="173" customWidth="1"/>
    <col min="7429" max="7429" width="13.6640625" style="173" customWidth="1"/>
    <col min="7430" max="7430" width="11.5" style="173" customWidth="1"/>
    <col min="7431" max="7431" width="4.5" style="173" customWidth="1"/>
    <col min="7432" max="7432" width="13.33203125" style="173" customWidth="1"/>
    <col min="7433" max="7433" width="15.33203125" style="173" customWidth="1"/>
    <col min="7434" max="7434" width="4.5" style="173" customWidth="1"/>
    <col min="7435" max="7435" width="4.6640625" style="173" customWidth="1"/>
    <col min="7436" max="7438" width="9.1640625" style="173"/>
    <col min="7439" max="7439" width="13.83203125" style="173" customWidth="1"/>
    <col min="7440" max="7440" width="11.5" style="173" customWidth="1"/>
    <col min="7441" max="7443" width="9.1640625" style="173"/>
    <col min="7444" max="7444" width="11.6640625" style="173" customWidth="1"/>
    <col min="7445" max="7445" width="2.1640625" style="173" customWidth="1"/>
    <col min="7446" max="7680" width="9.1640625" style="173"/>
    <col min="7681" max="7681" width="0.83203125" style="173" customWidth="1"/>
    <col min="7682" max="7682" width="4.6640625" style="173" customWidth="1"/>
    <col min="7683" max="7683" width="19.1640625" style="173" customWidth="1"/>
    <col min="7684" max="7684" width="14.83203125" style="173" customWidth="1"/>
    <col min="7685" max="7685" width="13.6640625" style="173" customWidth="1"/>
    <col min="7686" max="7686" width="11.5" style="173" customWidth="1"/>
    <col min="7687" max="7687" width="4.5" style="173" customWidth="1"/>
    <col min="7688" max="7688" width="13.33203125" style="173" customWidth="1"/>
    <col min="7689" max="7689" width="15.33203125" style="173" customWidth="1"/>
    <col min="7690" max="7690" width="4.5" style="173" customWidth="1"/>
    <col min="7691" max="7691" width="4.6640625" style="173" customWidth="1"/>
    <col min="7692" max="7694" width="9.1640625" style="173"/>
    <col min="7695" max="7695" width="13.83203125" style="173" customWidth="1"/>
    <col min="7696" max="7696" width="11.5" style="173" customWidth="1"/>
    <col min="7697" max="7699" width="9.1640625" style="173"/>
    <col min="7700" max="7700" width="11.6640625" style="173" customWidth="1"/>
    <col min="7701" max="7701" width="2.1640625" style="173" customWidth="1"/>
    <col min="7702" max="7936" width="9.1640625" style="173"/>
    <col min="7937" max="7937" width="0.83203125" style="173" customWidth="1"/>
    <col min="7938" max="7938" width="4.6640625" style="173" customWidth="1"/>
    <col min="7939" max="7939" width="19.1640625" style="173" customWidth="1"/>
    <col min="7940" max="7940" width="14.83203125" style="173" customWidth="1"/>
    <col min="7941" max="7941" width="13.6640625" style="173" customWidth="1"/>
    <col min="7942" max="7942" width="11.5" style="173" customWidth="1"/>
    <col min="7943" max="7943" width="4.5" style="173" customWidth="1"/>
    <col min="7944" max="7944" width="13.33203125" style="173" customWidth="1"/>
    <col min="7945" max="7945" width="15.33203125" style="173" customWidth="1"/>
    <col min="7946" max="7946" width="4.5" style="173" customWidth="1"/>
    <col min="7947" max="7947" width="4.6640625" style="173" customWidth="1"/>
    <col min="7948" max="7950" width="9.1640625" style="173"/>
    <col min="7951" max="7951" width="13.83203125" style="173" customWidth="1"/>
    <col min="7952" max="7952" width="11.5" style="173" customWidth="1"/>
    <col min="7953" max="7955" width="9.1640625" style="173"/>
    <col min="7956" max="7956" width="11.6640625" style="173" customWidth="1"/>
    <col min="7957" max="7957" width="2.1640625" style="173" customWidth="1"/>
    <col min="7958" max="8192" width="9.1640625" style="173"/>
    <col min="8193" max="8193" width="0.83203125" style="173" customWidth="1"/>
    <col min="8194" max="8194" width="4.6640625" style="173" customWidth="1"/>
    <col min="8195" max="8195" width="19.1640625" style="173" customWidth="1"/>
    <col min="8196" max="8196" width="14.83203125" style="173" customWidth="1"/>
    <col min="8197" max="8197" width="13.6640625" style="173" customWidth="1"/>
    <col min="8198" max="8198" width="11.5" style="173" customWidth="1"/>
    <col min="8199" max="8199" width="4.5" style="173" customWidth="1"/>
    <col min="8200" max="8200" width="13.33203125" style="173" customWidth="1"/>
    <col min="8201" max="8201" width="15.33203125" style="173" customWidth="1"/>
    <col min="8202" max="8202" width="4.5" style="173" customWidth="1"/>
    <col min="8203" max="8203" width="4.6640625" style="173" customWidth="1"/>
    <col min="8204" max="8206" width="9.1640625" style="173"/>
    <col min="8207" max="8207" width="13.83203125" style="173" customWidth="1"/>
    <col min="8208" max="8208" width="11.5" style="173" customWidth="1"/>
    <col min="8209" max="8211" width="9.1640625" style="173"/>
    <col min="8212" max="8212" width="11.6640625" style="173" customWidth="1"/>
    <col min="8213" max="8213" width="2.1640625" style="173" customWidth="1"/>
    <col min="8214" max="8448" width="9.1640625" style="173"/>
    <col min="8449" max="8449" width="0.83203125" style="173" customWidth="1"/>
    <col min="8450" max="8450" width="4.6640625" style="173" customWidth="1"/>
    <col min="8451" max="8451" width="19.1640625" style="173" customWidth="1"/>
    <col min="8452" max="8452" width="14.83203125" style="173" customWidth="1"/>
    <col min="8453" max="8453" width="13.6640625" style="173" customWidth="1"/>
    <col min="8454" max="8454" width="11.5" style="173" customWidth="1"/>
    <col min="8455" max="8455" width="4.5" style="173" customWidth="1"/>
    <col min="8456" max="8456" width="13.33203125" style="173" customWidth="1"/>
    <col min="8457" max="8457" width="15.33203125" style="173" customWidth="1"/>
    <col min="8458" max="8458" width="4.5" style="173" customWidth="1"/>
    <col min="8459" max="8459" width="4.6640625" style="173" customWidth="1"/>
    <col min="8460" max="8462" width="9.1640625" style="173"/>
    <col min="8463" max="8463" width="13.83203125" style="173" customWidth="1"/>
    <col min="8464" max="8464" width="11.5" style="173" customWidth="1"/>
    <col min="8465" max="8467" width="9.1640625" style="173"/>
    <col min="8468" max="8468" width="11.6640625" style="173" customWidth="1"/>
    <col min="8469" max="8469" width="2.1640625" style="173" customWidth="1"/>
    <col min="8470" max="8704" width="9.1640625" style="173"/>
    <col min="8705" max="8705" width="0.83203125" style="173" customWidth="1"/>
    <col min="8706" max="8706" width="4.6640625" style="173" customWidth="1"/>
    <col min="8707" max="8707" width="19.1640625" style="173" customWidth="1"/>
    <col min="8708" max="8708" width="14.83203125" style="173" customWidth="1"/>
    <col min="8709" max="8709" width="13.6640625" style="173" customWidth="1"/>
    <col min="8710" max="8710" width="11.5" style="173" customWidth="1"/>
    <col min="8711" max="8711" width="4.5" style="173" customWidth="1"/>
    <col min="8712" max="8712" width="13.33203125" style="173" customWidth="1"/>
    <col min="8713" max="8713" width="15.33203125" style="173" customWidth="1"/>
    <col min="8714" max="8714" width="4.5" style="173" customWidth="1"/>
    <col min="8715" max="8715" width="4.6640625" style="173" customWidth="1"/>
    <col min="8716" max="8718" width="9.1640625" style="173"/>
    <col min="8719" max="8719" width="13.83203125" style="173" customWidth="1"/>
    <col min="8720" max="8720" width="11.5" style="173" customWidth="1"/>
    <col min="8721" max="8723" width="9.1640625" style="173"/>
    <col min="8724" max="8724" width="11.6640625" style="173" customWidth="1"/>
    <col min="8725" max="8725" width="2.1640625" style="173" customWidth="1"/>
    <col min="8726" max="8960" width="9.1640625" style="173"/>
    <col min="8961" max="8961" width="0.83203125" style="173" customWidth="1"/>
    <col min="8962" max="8962" width="4.6640625" style="173" customWidth="1"/>
    <col min="8963" max="8963" width="19.1640625" style="173" customWidth="1"/>
    <col min="8964" max="8964" width="14.83203125" style="173" customWidth="1"/>
    <col min="8965" max="8965" width="13.6640625" style="173" customWidth="1"/>
    <col min="8966" max="8966" width="11.5" style="173" customWidth="1"/>
    <col min="8967" max="8967" width="4.5" style="173" customWidth="1"/>
    <col min="8968" max="8968" width="13.33203125" style="173" customWidth="1"/>
    <col min="8969" max="8969" width="15.33203125" style="173" customWidth="1"/>
    <col min="8970" max="8970" width="4.5" style="173" customWidth="1"/>
    <col min="8971" max="8971" width="4.6640625" style="173" customWidth="1"/>
    <col min="8972" max="8974" width="9.1640625" style="173"/>
    <col min="8975" max="8975" width="13.83203125" style="173" customWidth="1"/>
    <col min="8976" max="8976" width="11.5" style="173" customWidth="1"/>
    <col min="8977" max="8979" width="9.1640625" style="173"/>
    <col min="8980" max="8980" width="11.6640625" style="173" customWidth="1"/>
    <col min="8981" max="8981" width="2.1640625" style="173" customWidth="1"/>
    <col min="8982" max="9216" width="9.1640625" style="173"/>
    <col min="9217" max="9217" width="0.83203125" style="173" customWidth="1"/>
    <col min="9218" max="9218" width="4.6640625" style="173" customWidth="1"/>
    <col min="9219" max="9219" width="19.1640625" style="173" customWidth="1"/>
    <col min="9220" max="9220" width="14.83203125" style="173" customWidth="1"/>
    <col min="9221" max="9221" width="13.6640625" style="173" customWidth="1"/>
    <col min="9222" max="9222" width="11.5" style="173" customWidth="1"/>
    <col min="9223" max="9223" width="4.5" style="173" customWidth="1"/>
    <col min="9224" max="9224" width="13.33203125" style="173" customWidth="1"/>
    <col min="9225" max="9225" width="15.33203125" style="173" customWidth="1"/>
    <col min="9226" max="9226" width="4.5" style="173" customWidth="1"/>
    <col min="9227" max="9227" width="4.6640625" style="173" customWidth="1"/>
    <col min="9228" max="9230" width="9.1640625" style="173"/>
    <col min="9231" max="9231" width="13.83203125" style="173" customWidth="1"/>
    <col min="9232" max="9232" width="11.5" style="173" customWidth="1"/>
    <col min="9233" max="9235" width="9.1640625" style="173"/>
    <col min="9236" max="9236" width="11.6640625" style="173" customWidth="1"/>
    <col min="9237" max="9237" width="2.1640625" style="173" customWidth="1"/>
    <col min="9238" max="9472" width="9.1640625" style="173"/>
    <col min="9473" max="9473" width="0.83203125" style="173" customWidth="1"/>
    <col min="9474" max="9474" width="4.6640625" style="173" customWidth="1"/>
    <col min="9475" max="9475" width="19.1640625" style="173" customWidth="1"/>
    <col min="9476" max="9476" width="14.83203125" style="173" customWidth="1"/>
    <col min="9477" max="9477" width="13.6640625" style="173" customWidth="1"/>
    <col min="9478" max="9478" width="11.5" style="173" customWidth="1"/>
    <col min="9479" max="9479" width="4.5" style="173" customWidth="1"/>
    <col min="9480" max="9480" width="13.33203125" style="173" customWidth="1"/>
    <col min="9481" max="9481" width="15.33203125" style="173" customWidth="1"/>
    <col min="9482" max="9482" width="4.5" style="173" customWidth="1"/>
    <col min="9483" max="9483" width="4.6640625" style="173" customWidth="1"/>
    <col min="9484" max="9486" width="9.1640625" style="173"/>
    <col min="9487" max="9487" width="13.83203125" style="173" customWidth="1"/>
    <col min="9488" max="9488" width="11.5" style="173" customWidth="1"/>
    <col min="9489" max="9491" width="9.1640625" style="173"/>
    <col min="9492" max="9492" width="11.6640625" style="173" customWidth="1"/>
    <col min="9493" max="9493" width="2.1640625" style="173" customWidth="1"/>
    <col min="9494" max="9728" width="9.1640625" style="173"/>
    <col min="9729" max="9729" width="0.83203125" style="173" customWidth="1"/>
    <col min="9730" max="9730" width="4.6640625" style="173" customWidth="1"/>
    <col min="9731" max="9731" width="19.1640625" style="173" customWidth="1"/>
    <col min="9732" max="9732" width="14.83203125" style="173" customWidth="1"/>
    <col min="9733" max="9733" width="13.6640625" style="173" customWidth="1"/>
    <col min="9734" max="9734" width="11.5" style="173" customWidth="1"/>
    <col min="9735" max="9735" width="4.5" style="173" customWidth="1"/>
    <col min="9736" max="9736" width="13.33203125" style="173" customWidth="1"/>
    <col min="9737" max="9737" width="15.33203125" style="173" customWidth="1"/>
    <col min="9738" max="9738" width="4.5" style="173" customWidth="1"/>
    <col min="9739" max="9739" width="4.6640625" style="173" customWidth="1"/>
    <col min="9740" max="9742" width="9.1640625" style="173"/>
    <col min="9743" max="9743" width="13.83203125" style="173" customWidth="1"/>
    <col min="9744" max="9744" width="11.5" style="173" customWidth="1"/>
    <col min="9745" max="9747" width="9.1640625" style="173"/>
    <col min="9748" max="9748" width="11.6640625" style="173" customWidth="1"/>
    <col min="9749" max="9749" width="2.1640625" style="173" customWidth="1"/>
    <col min="9750" max="9984" width="9.1640625" style="173"/>
    <col min="9985" max="9985" width="0.83203125" style="173" customWidth="1"/>
    <col min="9986" max="9986" width="4.6640625" style="173" customWidth="1"/>
    <col min="9987" max="9987" width="19.1640625" style="173" customWidth="1"/>
    <col min="9988" max="9988" width="14.83203125" style="173" customWidth="1"/>
    <col min="9989" max="9989" width="13.6640625" style="173" customWidth="1"/>
    <col min="9990" max="9990" width="11.5" style="173" customWidth="1"/>
    <col min="9991" max="9991" width="4.5" style="173" customWidth="1"/>
    <col min="9992" max="9992" width="13.33203125" style="173" customWidth="1"/>
    <col min="9993" max="9993" width="15.33203125" style="173" customWidth="1"/>
    <col min="9994" max="9994" width="4.5" style="173" customWidth="1"/>
    <col min="9995" max="9995" width="4.6640625" style="173" customWidth="1"/>
    <col min="9996" max="9998" width="9.1640625" style="173"/>
    <col min="9999" max="9999" width="13.83203125" style="173" customWidth="1"/>
    <col min="10000" max="10000" width="11.5" style="173" customWidth="1"/>
    <col min="10001" max="10003" width="9.1640625" style="173"/>
    <col min="10004" max="10004" width="11.6640625" style="173" customWidth="1"/>
    <col min="10005" max="10005" width="2.1640625" style="173" customWidth="1"/>
    <col min="10006" max="10240" width="9.1640625" style="173"/>
    <col min="10241" max="10241" width="0.83203125" style="173" customWidth="1"/>
    <col min="10242" max="10242" width="4.6640625" style="173" customWidth="1"/>
    <col min="10243" max="10243" width="19.1640625" style="173" customWidth="1"/>
    <col min="10244" max="10244" width="14.83203125" style="173" customWidth="1"/>
    <col min="10245" max="10245" width="13.6640625" style="173" customWidth="1"/>
    <col min="10246" max="10246" width="11.5" style="173" customWidth="1"/>
    <col min="10247" max="10247" width="4.5" style="173" customWidth="1"/>
    <col min="10248" max="10248" width="13.33203125" style="173" customWidth="1"/>
    <col min="10249" max="10249" width="15.33203125" style="173" customWidth="1"/>
    <col min="10250" max="10250" width="4.5" style="173" customWidth="1"/>
    <col min="10251" max="10251" width="4.6640625" style="173" customWidth="1"/>
    <col min="10252" max="10254" width="9.1640625" style="173"/>
    <col min="10255" max="10255" width="13.83203125" style="173" customWidth="1"/>
    <col min="10256" max="10256" width="11.5" style="173" customWidth="1"/>
    <col min="10257" max="10259" width="9.1640625" style="173"/>
    <col min="10260" max="10260" width="11.6640625" style="173" customWidth="1"/>
    <col min="10261" max="10261" width="2.1640625" style="173" customWidth="1"/>
    <col min="10262" max="10496" width="9.1640625" style="173"/>
    <col min="10497" max="10497" width="0.83203125" style="173" customWidth="1"/>
    <col min="10498" max="10498" width="4.6640625" style="173" customWidth="1"/>
    <col min="10499" max="10499" width="19.1640625" style="173" customWidth="1"/>
    <col min="10500" max="10500" width="14.83203125" style="173" customWidth="1"/>
    <col min="10501" max="10501" width="13.6640625" style="173" customWidth="1"/>
    <col min="10502" max="10502" width="11.5" style="173" customWidth="1"/>
    <col min="10503" max="10503" width="4.5" style="173" customWidth="1"/>
    <col min="10504" max="10504" width="13.33203125" style="173" customWidth="1"/>
    <col min="10505" max="10505" width="15.33203125" style="173" customWidth="1"/>
    <col min="10506" max="10506" width="4.5" style="173" customWidth="1"/>
    <col min="10507" max="10507" width="4.6640625" style="173" customWidth="1"/>
    <col min="10508" max="10510" width="9.1640625" style="173"/>
    <col min="10511" max="10511" width="13.83203125" style="173" customWidth="1"/>
    <col min="10512" max="10512" width="11.5" style="173" customWidth="1"/>
    <col min="10513" max="10515" width="9.1640625" style="173"/>
    <col min="10516" max="10516" width="11.6640625" style="173" customWidth="1"/>
    <col min="10517" max="10517" width="2.1640625" style="173" customWidth="1"/>
    <col min="10518" max="10752" width="9.1640625" style="173"/>
    <col min="10753" max="10753" width="0.83203125" style="173" customWidth="1"/>
    <col min="10754" max="10754" width="4.6640625" style="173" customWidth="1"/>
    <col min="10755" max="10755" width="19.1640625" style="173" customWidth="1"/>
    <col min="10756" max="10756" width="14.83203125" style="173" customWidth="1"/>
    <col min="10757" max="10757" width="13.6640625" style="173" customWidth="1"/>
    <col min="10758" max="10758" width="11.5" style="173" customWidth="1"/>
    <col min="10759" max="10759" width="4.5" style="173" customWidth="1"/>
    <col min="10760" max="10760" width="13.33203125" style="173" customWidth="1"/>
    <col min="10761" max="10761" width="15.33203125" style="173" customWidth="1"/>
    <col min="10762" max="10762" width="4.5" style="173" customWidth="1"/>
    <col min="10763" max="10763" width="4.6640625" style="173" customWidth="1"/>
    <col min="10764" max="10766" width="9.1640625" style="173"/>
    <col min="10767" max="10767" width="13.83203125" style="173" customWidth="1"/>
    <col min="10768" max="10768" width="11.5" style="173" customWidth="1"/>
    <col min="10769" max="10771" width="9.1640625" style="173"/>
    <col min="10772" max="10772" width="11.6640625" style="173" customWidth="1"/>
    <col min="10773" max="10773" width="2.1640625" style="173" customWidth="1"/>
    <col min="10774" max="11008" width="9.1640625" style="173"/>
    <col min="11009" max="11009" width="0.83203125" style="173" customWidth="1"/>
    <col min="11010" max="11010" width="4.6640625" style="173" customWidth="1"/>
    <col min="11011" max="11011" width="19.1640625" style="173" customWidth="1"/>
    <col min="11012" max="11012" width="14.83203125" style="173" customWidth="1"/>
    <col min="11013" max="11013" width="13.6640625" style="173" customWidth="1"/>
    <col min="11014" max="11014" width="11.5" style="173" customWidth="1"/>
    <col min="11015" max="11015" width="4.5" style="173" customWidth="1"/>
    <col min="11016" max="11016" width="13.33203125" style="173" customWidth="1"/>
    <col min="11017" max="11017" width="15.33203125" style="173" customWidth="1"/>
    <col min="11018" max="11018" width="4.5" style="173" customWidth="1"/>
    <col min="11019" max="11019" width="4.6640625" style="173" customWidth="1"/>
    <col min="11020" max="11022" width="9.1640625" style="173"/>
    <col min="11023" max="11023" width="13.83203125" style="173" customWidth="1"/>
    <col min="11024" max="11024" width="11.5" style="173" customWidth="1"/>
    <col min="11025" max="11027" width="9.1640625" style="173"/>
    <col min="11028" max="11028" width="11.6640625" style="173" customWidth="1"/>
    <col min="11029" max="11029" width="2.1640625" style="173" customWidth="1"/>
    <col min="11030" max="11264" width="9.1640625" style="173"/>
    <col min="11265" max="11265" width="0.83203125" style="173" customWidth="1"/>
    <col min="11266" max="11266" width="4.6640625" style="173" customWidth="1"/>
    <col min="11267" max="11267" width="19.1640625" style="173" customWidth="1"/>
    <col min="11268" max="11268" width="14.83203125" style="173" customWidth="1"/>
    <col min="11269" max="11269" width="13.6640625" style="173" customWidth="1"/>
    <col min="11270" max="11270" width="11.5" style="173" customWidth="1"/>
    <col min="11271" max="11271" width="4.5" style="173" customWidth="1"/>
    <col min="11272" max="11272" width="13.33203125" style="173" customWidth="1"/>
    <col min="11273" max="11273" width="15.33203125" style="173" customWidth="1"/>
    <col min="11274" max="11274" width="4.5" style="173" customWidth="1"/>
    <col min="11275" max="11275" width="4.6640625" style="173" customWidth="1"/>
    <col min="11276" max="11278" width="9.1640625" style="173"/>
    <col min="11279" max="11279" width="13.83203125" style="173" customWidth="1"/>
    <col min="11280" max="11280" width="11.5" style="173" customWidth="1"/>
    <col min="11281" max="11283" width="9.1640625" style="173"/>
    <col min="11284" max="11284" width="11.6640625" style="173" customWidth="1"/>
    <col min="11285" max="11285" width="2.1640625" style="173" customWidth="1"/>
    <col min="11286" max="11520" width="9.1640625" style="173"/>
    <col min="11521" max="11521" width="0.83203125" style="173" customWidth="1"/>
    <col min="11522" max="11522" width="4.6640625" style="173" customWidth="1"/>
    <col min="11523" max="11523" width="19.1640625" style="173" customWidth="1"/>
    <col min="11524" max="11524" width="14.83203125" style="173" customWidth="1"/>
    <col min="11525" max="11525" width="13.6640625" style="173" customWidth="1"/>
    <col min="11526" max="11526" width="11.5" style="173" customWidth="1"/>
    <col min="11527" max="11527" width="4.5" style="173" customWidth="1"/>
    <col min="11528" max="11528" width="13.33203125" style="173" customWidth="1"/>
    <col min="11529" max="11529" width="15.33203125" style="173" customWidth="1"/>
    <col min="11530" max="11530" width="4.5" style="173" customWidth="1"/>
    <col min="11531" max="11531" width="4.6640625" style="173" customWidth="1"/>
    <col min="11532" max="11534" width="9.1640625" style="173"/>
    <col min="11535" max="11535" width="13.83203125" style="173" customWidth="1"/>
    <col min="11536" max="11536" width="11.5" style="173" customWidth="1"/>
    <col min="11537" max="11539" width="9.1640625" style="173"/>
    <col min="11540" max="11540" width="11.6640625" style="173" customWidth="1"/>
    <col min="11541" max="11541" width="2.1640625" style="173" customWidth="1"/>
    <col min="11542" max="11776" width="9.1640625" style="173"/>
    <col min="11777" max="11777" width="0.83203125" style="173" customWidth="1"/>
    <col min="11778" max="11778" width="4.6640625" style="173" customWidth="1"/>
    <col min="11779" max="11779" width="19.1640625" style="173" customWidth="1"/>
    <col min="11780" max="11780" width="14.83203125" style="173" customWidth="1"/>
    <col min="11781" max="11781" width="13.6640625" style="173" customWidth="1"/>
    <col min="11782" max="11782" width="11.5" style="173" customWidth="1"/>
    <col min="11783" max="11783" width="4.5" style="173" customWidth="1"/>
    <col min="11784" max="11784" width="13.33203125" style="173" customWidth="1"/>
    <col min="11785" max="11785" width="15.33203125" style="173" customWidth="1"/>
    <col min="11786" max="11786" width="4.5" style="173" customWidth="1"/>
    <col min="11787" max="11787" width="4.6640625" style="173" customWidth="1"/>
    <col min="11788" max="11790" width="9.1640625" style="173"/>
    <col min="11791" max="11791" width="13.83203125" style="173" customWidth="1"/>
    <col min="11792" max="11792" width="11.5" style="173" customWidth="1"/>
    <col min="11793" max="11795" width="9.1640625" style="173"/>
    <col min="11796" max="11796" width="11.6640625" style="173" customWidth="1"/>
    <col min="11797" max="11797" width="2.1640625" style="173" customWidth="1"/>
    <col min="11798" max="12032" width="9.1640625" style="173"/>
    <col min="12033" max="12033" width="0.83203125" style="173" customWidth="1"/>
    <col min="12034" max="12034" width="4.6640625" style="173" customWidth="1"/>
    <col min="12035" max="12035" width="19.1640625" style="173" customWidth="1"/>
    <col min="12036" max="12036" width="14.83203125" style="173" customWidth="1"/>
    <col min="12037" max="12037" width="13.6640625" style="173" customWidth="1"/>
    <col min="12038" max="12038" width="11.5" style="173" customWidth="1"/>
    <col min="12039" max="12039" width="4.5" style="173" customWidth="1"/>
    <col min="12040" max="12040" width="13.33203125" style="173" customWidth="1"/>
    <col min="12041" max="12041" width="15.33203125" style="173" customWidth="1"/>
    <col min="12042" max="12042" width="4.5" style="173" customWidth="1"/>
    <col min="12043" max="12043" width="4.6640625" style="173" customWidth="1"/>
    <col min="12044" max="12046" width="9.1640625" style="173"/>
    <col min="12047" max="12047" width="13.83203125" style="173" customWidth="1"/>
    <col min="12048" max="12048" width="11.5" style="173" customWidth="1"/>
    <col min="12049" max="12051" width="9.1640625" style="173"/>
    <col min="12052" max="12052" width="11.6640625" style="173" customWidth="1"/>
    <col min="12053" max="12053" width="2.1640625" style="173" customWidth="1"/>
    <col min="12054" max="12288" width="9.1640625" style="173"/>
    <col min="12289" max="12289" width="0.83203125" style="173" customWidth="1"/>
    <col min="12290" max="12290" width="4.6640625" style="173" customWidth="1"/>
    <col min="12291" max="12291" width="19.1640625" style="173" customWidth="1"/>
    <col min="12292" max="12292" width="14.83203125" style="173" customWidth="1"/>
    <col min="12293" max="12293" width="13.6640625" style="173" customWidth="1"/>
    <col min="12294" max="12294" width="11.5" style="173" customWidth="1"/>
    <col min="12295" max="12295" width="4.5" style="173" customWidth="1"/>
    <col min="12296" max="12296" width="13.33203125" style="173" customWidth="1"/>
    <col min="12297" max="12297" width="15.33203125" style="173" customWidth="1"/>
    <col min="12298" max="12298" width="4.5" style="173" customWidth="1"/>
    <col min="12299" max="12299" width="4.6640625" style="173" customWidth="1"/>
    <col min="12300" max="12302" width="9.1640625" style="173"/>
    <col min="12303" max="12303" width="13.83203125" style="173" customWidth="1"/>
    <col min="12304" max="12304" width="11.5" style="173" customWidth="1"/>
    <col min="12305" max="12307" width="9.1640625" style="173"/>
    <col min="12308" max="12308" width="11.6640625" style="173" customWidth="1"/>
    <col min="12309" max="12309" width="2.1640625" style="173" customWidth="1"/>
    <col min="12310" max="12544" width="9.1640625" style="173"/>
    <col min="12545" max="12545" width="0.83203125" style="173" customWidth="1"/>
    <col min="12546" max="12546" width="4.6640625" style="173" customWidth="1"/>
    <col min="12547" max="12547" width="19.1640625" style="173" customWidth="1"/>
    <col min="12548" max="12548" width="14.83203125" style="173" customWidth="1"/>
    <col min="12549" max="12549" width="13.6640625" style="173" customWidth="1"/>
    <col min="12550" max="12550" width="11.5" style="173" customWidth="1"/>
    <col min="12551" max="12551" width="4.5" style="173" customWidth="1"/>
    <col min="12552" max="12552" width="13.33203125" style="173" customWidth="1"/>
    <col min="12553" max="12553" width="15.33203125" style="173" customWidth="1"/>
    <col min="12554" max="12554" width="4.5" style="173" customWidth="1"/>
    <col min="12555" max="12555" width="4.6640625" style="173" customWidth="1"/>
    <col min="12556" max="12558" width="9.1640625" style="173"/>
    <col min="12559" max="12559" width="13.83203125" style="173" customWidth="1"/>
    <col min="12560" max="12560" width="11.5" style="173" customWidth="1"/>
    <col min="12561" max="12563" width="9.1640625" style="173"/>
    <col min="12564" max="12564" width="11.6640625" style="173" customWidth="1"/>
    <col min="12565" max="12565" width="2.1640625" style="173" customWidth="1"/>
    <col min="12566" max="12800" width="9.1640625" style="173"/>
    <col min="12801" max="12801" width="0.83203125" style="173" customWidth="1"/>
    <col min="12802" max="12802" width="4.6640625" style="173" customWidth="1"/>
    <col min="12803" max="12803" width="19.1640625" style="173" customWidth="1"/>
    <col min="12804" max="12804" width="14.83203125" style="173" customWidth="1"/>
    <col min="12805" max="12805" width="13.6640625" style="173" customWidth="1"/>
    <col min="12806" max="12806" width="11.5" style="173" customWidth="1"/>
    <col min="12807" max="12807" width="4.5" style="173" customWidth="1"/>
    <col min="12808" max="12808" width="13.33203125" style="173" customWidth="1"/>
    <col min="12809" max="12809" width="15.33203125" style="173" customWidth="1"/>
    <col min="12810" max="12810" width="4.5" style="173" customWidth="1"/>
    <col min="12811" max="12811" width="4.6640625" style="173" customWidth="1"/>
    <col min="12812" max="12814" width="9.1640625" style="173"/>
    <col min="12815" max="12815" width="13.83203125" style="173" customWidth="1"/>
    <col min="12816" max="12816" width="11.5" style="173" customWidth="1"/>
    <col min="12817" max="12819" width="9.1640625" style="173"/>
    <col min="12820" max="12820" width="11.6640625" style="173" customWidth="1"/>
    <col min="12821" max="12821" width="2.1640625" style="173" customWidth="1"/>
    <col min="12822" max="13056" width="9.1640625" style="173"/>
    <col min="13057" max="13057" width="0.83203125" style="173" customWidth="1"/>
    <col min="13058" max="13058" width="4.6640625" style="173" customWidth="1"/>
    <col min="13059" max="13059" width="19.1640625" style="173" customWidth="1"/>
    <col min="13060" max="13060" width="14.83203125" style="173" customWidth="1"/>
    <col min="13061" max="13061" width="13.6640625" style="173" customWidth="1"/>
    <col min="13062" max="13062" width="11.5" style="173" customWidth="1"/>
    <col min="13063" max="13063" width="4.5" style="173" customWidth="1"/>
    <col min="13064" max="13064" width="13.33203125" style="173" customWidth="1"/>
    <col min="13065" max="13065" width="15.33203125" style="173" customWidth="1"/>
    <col min="13066" max="13066" width="4.5" style="173" customWidth="1"/>
    <col min="13067" max="13067" width="4.6640625" style="173" customWidth="1"/>
    <col min="13068" max="13070" width="9.1640625" style="173"/>
    <col min="13071" max="13071" width="13.83203125" style="173" customWidth="1"/>
    <col min="13072" max="13072" width="11.5" style="173" customWidth="1"/>
    <col min="13073" max="13075" width="9.1640625" style="173"/>
    <col min="13076" max="13076" width="11.6640625" style="173" customWidth="1"/>
    <col min="13077" max="13077" width="2.1640625" style="173" customWidth="1"/>
    <col min="13078" max="13312" width="9.1640625" style="173"/>
    <col min="13313" max="13313" width="0.83203125" style="173" customWidth="1"/>
    <col min="13314" max="13314" width="4.6640625" style="173" customWidth="1"/>
    <col min="13315" max="13315" width="19.1640625" style="173" customWidth="1"/>
    <col min="13316" max="13316" width="14.83203125" style="173" customWidth="1"/>
    <col min="13317" max="13317" width="13.6640625" style="173" customWidth="1"/>
    <col min="13318" max="13318" width="11.5" style="173" customWidth="1"/>
    <col min="13319" max="13319" width="4.5" style="173" customWidth="1"/>
    <col min="13320" max="13320" width="13.33203125" style="173" customWidth="1"/>
    <col min="13321" max="13321" width="15.33203125" style="173" customWidth="1"/>
    <col min="13322" max="13322" width="4.5" style="173" customWidth="1"/>
    <col min="13323" max="13323" width="4.6640625" style="173" customWidth="1"/>
    <col min="13324" max="13326" width="9.1640625" style="173"/>
    <col min="13327" max="13327" width="13.83203125" style="173" customWidth="1"/>
    <col min="13328" max="13328" width="11.5" style="173" customWidth="1"/>
    <col min="13329" max="13331" width="9.1640625" style="173"/>
    <col min="13332" max="13332" width="11.6640625" style="173" customWidth="1"/>
    <col min="13333" max="13333" width="2.1640625" style="173" customWidth="1"/>
    <col min="13334" max="13568" width="9.1640625" style="173"/>
    <col min="13569" max="13569" width="0.83203125" style="173" customWidth="1"/>
    <col min="13570" max="13570" width="4.6640625" style="173" customWidth="1"/>
    <col min="13571" max="13571" width="19.1640625" style="173" customWidth="1"/>
    <col min="13572" max="13572" width="14.83203125" style="173" customWidth="1"/>
    <col min="13573" max="13573" width="13.6640625" style="173" customWidth="1"/>
    <col min="13574" max="13574" width="11.5" style="173" customWidth="1"/>
    <col min="13575" max="13575" width="4.5" style="173" customWidth="1"/>
    <col min="13576" max="13576" width="13.33203125" style="173" customWidth="1"/>
    <col min="13577" max="13577" width="15.33203125" style="173" customWidth="1"/>
    <col min="13578" max="13578" width="4.5" style="173" customWidth="1"/>
    <col min="13579" max="13579" width="4.6640625" style="173" customWidth="1"/>
    <col min="13580" max="13582" width="9.1640625" style="173"/>
    <col min="13583" max="13583" width="13.83203125" style="173" customWidth="1"/>
    <col min="13584" max="13584" width="11.5" style="173" customWidth="1"/>
    <col min="13585" max="13587" width="9.1640625" style="173"/>
    <col min="13588" max="13588" width="11.6640625" style="173" customWidth="1"/>
    <col min="13589" max="13589" width="2.1640625" style="173" customWidth="1"/>
    <col min="13590" max="13824" width="9.1640625" style="173"/>
    <col min="13825" max="13825" width="0.83203125" style="173" customWidth="1"/>
    <col min="13826" max="13826" width="4.6640625" style="173" customWidth="1"/>
    <col min="13827" max="13827" width="19.1640625" style="173" customWidth="1"/>
    <col min="13828" max="13828" width="14.83203125" style="173" customWidth="1"/>
    <col min="13829" max="13829" width="13.6640625" style="173" customWidth="1"/>
    <col min="13830" max="13830" width="11.5" style="173" customWidth="1"/>
    <col min="13831" max="13831" width="4.5" style="173" customWidth="1"/>
    <col min="13832" max="13832" width="13.33203125" style="173" customWidth="1"/>
    <col min="13833" max="13833" width="15.33203125" style="173" customWidth="1"/>
    <col min="13834" max="13834" width="4.5" style="173" customWidth="1"/>
    <col min="13835" max="13835" width="4.6640625" style="173" customWidth="1"/>
    <col min="13836" max="13838" width="9.1640625" style="173"/>
    <col min="13839" max="13839" width="13.83203125" style="173" customWidth="1"/>
    <col min="13840" max="13840" width="11.5" style="173" customWidth="1"/>
    <col min="13841" max="13843" width="9.1640625" style="173"/>
    <col min="13844" max="13844" width="11.6640625" style="173" customWidth="1"/>
    <col min="13845" max="13845" width="2.1640625" style="173" customWidth="1"/>
    <col min="13846" max="14080" width="9.1640625" style="173"/>
    <col min="14081" max="14081" width="0.83203125" style="173" customWidth="1"/>
    <col min="14082" max="14082" width="4.6640625" style="173" customWidth="1"/>
    <col min="14083" max="14083" width="19.1640625" style="173" customWidth="1"/>
    <col min="14084" max="14084" width="14.83203125" style="173" customWidth="1"/>
    <col min="14085" max="14085" width="13.6640625" style="173" customWidth="1"/>
    <col min="14086" max="14086" width="11.5" style="173" customWidth="1"/>
    <col min="14087" max="14087" width="4.5" style="173" customWidth="1"/>
    <col min="14088" max="14088" width="13.33203125" style="173" customWidth="1"/>
    <col min="14089" max="14089" width="15.33203125" style="173" customWidth="1"/>
    <col min="14090" max="14090" width="4.5" style="173" customWidth="1"/>
    <col min="14091" max="14091" width="4.6640625" style="173" customWidth="1"/>
    <col min="14092" max="14094" width="9.1640625" style="173"/>
    <col min="14095" max="14095" width="13.83203125" style="173" customWidth="1"/>
    <col min="14096" max="14096" width="11.5" style="173" customWidth="1"/>
    <col min="14097" max="14099" width="9.1640625" style="173"/>
    <col min="14100" max="14100" width="11.6640625" style="173" customWidth="1"/>
    <col min="14101" max="14101" width="2.1640625" style="173" customWidth="1"/>
    <col min="14102" max="14336" width="9.1640625" style="173"/>
    <col min="14337" max="14337" width="0.83203125" style="173" customWidth="1"/>
    <col min="14338" max="14338" width="4.6640625" style="173" customWidth="1"/>
    <col min="14339" max="14339" width="19.1640625" style="173" customWidth="1"/>
    <col min="14340" max="14340" width="14.83203125" style="173" customWidth="1"/>
    <col min="14341" max="14341" width="13.6640625" style="173" customWidth="1"/>
    <col min="14342" max="14342" width="11.5" style="173" customWidth="1"/>
    <col min="14343" max="14343" width="4.5" style="173" customWidth="1"/>
    <col min="14344" max="14344" width="13.33203125" style="173" customWidth="1"/>
    <col min="14345" max="14345" width="15.33203125" style="173" customWidth="1"/>
    <col min="14346" max="14346" width="4.5" style="173" customWidth="1"/>
    <col min="14347" max="14347" width="4.6640625" style="173" customWidth="1"/>
    <col min="14348" max="14350" width="9.1640625" style="173"/>
    <col min="14351" max="14351" width="13.83203125" style="173" customWidth="1"/>
    <col min="14352" max="14352" width="11.5" style="173" customWidth="1"/>
    <col min="14353" max="14355" width="9.1640625" style="173"/>
    <col min="14356" max="14356" width="11.6640625" style="173" customWidth="1"/>
    <col min="14357" max="14357" width="2.1640625" style="173" customWidth="1"/>
    <col min="14358" max="14592" width="9.1640625" style="173"/>
    <col min="14593" max="14593" width="0.83203125" style="173" customWidth="1"/>
    <col min="14594" max="14594" width="4.6640625" style="173" customWidth="1"/>
    <col min="14595" max="14595" width="19.1640625" style="173" customWidth="1"/>
    <col min="14596" max="14596" width="14.83203125" style="173" customWidth="1"/>
    <col min="14597" max="14597" width="13.6640625" style="173" customWidth="1"/>
    <col min="14598" max="14598" width="11.5" style="173" customWidth="1"/>
    <col min="14599" max="14599" width="4.5" style="173" customWidth="1"/>
    <col min="14600" max="14600" width="13.33203125" style="173" customWidth="1"/>
    <col min="14601" max="14601" width="15.33203125" style="173" customWidth="1"/>
    <col min="14602" max="14602" width="4.5" style="173" customWidth="1"/>
    <col min="14603" max="14603" width="4.6640625" style="173" customWidth="1"/>
    <col min="14604" max="14606" width="9.1640625" style="173"/>
    <col min="14607" max="14607" width="13.83203125" style="173" customWidth="1"/>
    <col min="14608" max="14608" width="11.5" style="173" customWidth="1"/>
    <col min="14609" max="14611" width="9.1640625" style="173"/>
    <col min="14612" max="14612" width="11.6640625" style="173" customWidth="1"/>
    <col min="14613" max="14613" width="2.1640625" style="173" customWidth="1"/>
    <col min="14614" max="14848" width="9.1640625" style="173"/>
    <col min="14849" max="14849" width="0.83203125" style="173" customWidth="1"/>
    <col min="14850" max="14850" width="4.6640625" style="173" customWidth="1"/>
    <col min="14851" max="14851" width="19.1640625" style="173" customWidth="1"/>
    <col min="14852" max="14852" width="14.83203125" style="173" customWidth="1"/>
    <col min="14853" max="14853" width="13.6640625" style="173" customWidth="1"/>
    <col min="14854" max="14854" width="11.5" style="173" customWidth="1"/>
    <col min="14855" max="14855" width="4.5" style="173" customWidth="1"/>
    <col min="14856" max="14856" width="13.33203125" style="173" customWidth="1"/>
    <col min="14857" max="14857" width="15.33203125" style="173" customWidth="1"/>
    <col min="14858" max="14858" width="4.5" style="173" customWidth="1"/>
    <col min="14859" max="14859" width="4.6640625" style="173" customWidth="1"/>
    <col min="14860" max="14862" width="9.1640625" style="173"/>
    <col min="14863" max="14863" width="13.83203125" style="173" customWidth="1"/>
    <col min="14864" max="14864" width="11.5" style="173" customWidth="1"/>
    <col min="14865" max="14867" width="9.1640625" style="173"/>
    <col min="14868" max="14868" width="11.6640625" style="173" customWidth="1"/>
    <col min="14869" max="14869" width="2.1640625" style="173" customWidth="1"/>
    <col min="14870" max="15104" width="9.1640625" style="173"/>
    <col min="15105" max="15105" width="0.83203125" style="173" customWidth="1"/>
    <col min="15106" max="15106" width="4.6640625" style="173" customWidth="1"/>
    <col min="15107" max="15107" width="19.1640625" style="173" customWidth="1"/>
    <col min="15108" max="15108" width="14.83203125" style="173" customWidth="1"/>
    <col min="15109" max="15109" width="13.6640625" style="173" customWidth="1"/>
    <col min="15110" max="15110" width="11.5" style="173" customWidth="1"/>
    <col min="15111" max="15111" width="4.5" style="173" customWidth="1"/>
    <col min="15112" max="15112" width="13.33203125" style="173" customWidth="1"/>
    <col min="15113" max="15113" width="15.33203125" style="173" customWidth="1"/>
    <col min="15114" max="15114" width="4.5" style="173" customWidth="1"/>
    <col min="15115" max="15115" width="4.6640625" style="173" customWidth="1"/>
    <col min="15116" max="15118" width="9.1640625" style="173"/>
    <col min="15119" max="15119" width="13.83203125" style="173" customWidth="1"/>
    <col min="15120" max="15120" width="11.5" style="173" customWidth="1"/>
    <col min="15121" max="15123" width="9.1640625" style="173"/>
    <col min="15124" max="15124" width="11.6640625" style="173" customWidth="1"/>
    <col min="15125" max="15125" width="2.1640625" style="173" customWidth="1"/>
    <col min="15126" max="15360" width="9.1640625" style="173"/>
    <col min="15361" max="15361" width="0.83203125" style="173" customWidth="1"/>
    <col min="15362" max="15362" width="4.6640625" style="173" customWidth="1"/>
    <col min="15363" max="15363" width="19.1640625" style="173" customWidth="1"/>
    <col min="15364" max="15364" width="14.83203125" style="173" customWidth="1"/>
    <col min="15365" max="15365" width="13.6640625" style="173" customWidth="1"/>
    <col min="15366" max="15366" width="11.5" style="173" customWidth="1"/>
    <col min="15367" max="15367" width="4.5" style="173" customWidth="1"/>
    <col min="15368" max="15368" width="13.33203125" style="173" customWidth="1"/>
    <col min="15369" max="15369" width="15.33203125" style="173" customWidth="1"/>
    <col min="15370" max="15370" width="4.5" style="173" customWidth="1"/>
    <col min="15371" max="15371" width="4.6640625" style="173" customWidth="1"/>
    <col min="15372" max="15374" width="9.1640625" style="173"/>
    <col min="15375" max="15375" width="13.83203125" style="173" customWidth="1"/>
    <col min="15376" max="15376" width="11.5" style="173" customWidth="1"/>
    <col min="15377" max="15379" width="9.1640625" style="173"/>
    <col min="15380" max="15380" width="11.6640625" style="173" customWidth="1"/>
    <col min="15381" max="15381" width="2.1640625" style="173" customWidth="1"/>
    <col min="15382" max="15616" width="9.1640625" style="173"/>
    <col min="15617" max="15617" width="0.83203125" style="173" customWidth="1"/>
    <col min="15618" max="15618" width="4.6640625" style="173" customWidth="1"/>
    <col min="15619" max="15619" width="19.1640625" style="173" customWidth="1"/>
    <col min="15620" max="15620" width="14.83203125" style="173" customWidth="1"/>
    <col min="15621" max="15621" width="13.6640625" style="173" customWidth="1"/>
    <col min="15622" max="15622" width="11.5" style="173" customWidth="1"/>
    <col min="15623" max="15623" width="4.5" style="173" customWidth="1"/>
    <col min="15624" max="15624" width="13.33203125" style="173" customWidth="1"/>
    <col min="15625" max="15625" width="15.33203125" style="173" customWidth="1"/>
    <col min="15626" max="15626" width="4.5" style="173" customWidth="1"/>
    <col min="15627" max="15627" width="4.6640625" style="173" customWidth="1"/>
    <col min="15628" max="15630" width="9.1640625" style="173"/>
    <col min="15631" max="15631" width="13.83203125" style="173" customWidth="1"/>
    <col min="15632" max="15632" width="11.5" style="173" customWidth="1"/>
    <col min="15633" max="15635" width="9.1640625" style="173"/>
    <col min="15636" max="15636" width="11.6640625" style="173" customWidth="1"/>
    <col min="15637" max="15637" width="2.1640625" style="173" customWidth="1"/>
    <col min="15638" max="15872" width="9.1640625" style="173"/>
    <col min="15873" max="15873" width="0.83203125" style="173" customWidth="1"/>
    <col min="15874" max="15874" width="4.6640625" style="173" customWidth="1"/>
    <col min="15875" max="15875" width="19.1640625" style="173" customWidth="1"/>
    <col min="15876" max="15876" width="14.83203125" style="173" customWidth="1"/>
    <col min="15877" max="15877" width="13.6640625" style="173" customWidth="1"/>
    <col min="15878" max="15878" width="11.5" style="173" customWidth="1"/>
    <col min="15879" max="15879" width="4.5" style="173" customWidth="1"/>
    <col min="15880" max="15880" width="13.33203125" style="173" customWidth="1"/>
    <col min="15881" max="15881" width="15.33203125" style="173" customWidth="1"/>
    <col min="15882" max="15882" width="4.5" style="173" customWidth="1"/>
    <col min="15883" max="15883" width="4.6640625" style="173" customWidth="1"/>
    <col min="15884" max="15886" width="9.1640625" style="173"/>
    <col min="15887" max="15887" width="13.83203125" style="173" customWidth="1"/>
    <col min="15888" max="15888" width="11.5" style="173" customWidth="1"/>
    <col min="15889" max="15891" width="9.1640625" style="173"/>
    <col min="15892" max="15892" width="11.6640625" style="173" customWidth="1"/>
    <col min="15893" max="15893" width="2.1640625" style="173" customWidth="1"/>
    <col min="15894" max="16128" width="9.1640625" style="173"/>
    <col min="16129" max="16129" width="0.83203125" style="173" customWidth="1"/>
    <col min="16130" max="16130" width="4.6640625" style="173" customWidth="1"/>
    <col min="16131" max="16131" width="19.1640625" style="173" customWidth="1"/>
    <col min="16132" max="16132" width="14.83203125" style="173" customWidth="1"/>
    <col min="16133" max="16133" width="13.6640625" style="173" customWidth="1"/>
    <col min="16134" max="16134" width="11.5" style="173" customWidth="1"/>
    <col min="16135" max="16135" width="4.5" style="173" customWidth="1"/>
    <col min="16136" max="16136" width="13.33203125" style="173" customWidth="1"/>
    <col min="16137" max="16137" width="15.33203125" style="173" customWidth="1"/>
    <col min="16138" max="16138" width="4.5" style="173" customWidth="1"/>
    <col min="16139" max="16139" width="4.6640625" style="173" customWidth="1"/>
    <col min="16140" max="16142" width="9.1640625" style="173"/>
    <col min="16143" max="16143" width="13.83203125" style="173" customWidth="1"/>
    <col min="16144" max="16144" width="11.5" style="173" customWidth="1"/>
    <col min="16145" max="16147" width="9.1640625" style="173"/>
    <col min="16148" max="16148" width="11.6640625" style="173" customWidth="1"/>
    <col min="16149" max="16149" width="2.1640625" style="173" customWidth="1"/>
    <col min="16150" max="16384" width="9.1640625" style="173"/>
  </cols>
  <sheetData>
    <row r="1" spans="2:20" ht="15.75" customHeight="1" thickBot="1" x14ac:dyDescent="0.25"/>
    <row r="2" spans="2:20" ht="30" customHeight="1" thickBot="1" x14ac:dyDescent="0.25">
      <c r="B2" s="512" t="s">
        <v>670</v>
      </c>
      <c r="C2" s="515" t="s">
        <v>671</v>
      </c>
      <c r="D2" s="516"/>
      <c r="E2" s="516"/>
      <c r="F2" s="516"/>
      <c r="G2" s="516"/>
      <c r="H2" s="517"/>
      <c r="I2" s="154" t="s">
        <v>355</v>
      </c>
      <c r="K2" s="488" t="s">
        <v>672</v>
      </c>
      <c r="L2" s="489"/>
      <c r="M2" s="489"/>
      <c r="N2" s="489"/>
      <c r="O2" s="489"/>
      <c r="P2" s="489"/>
      <c r="Q2" s="489"/>
      <c r="R2" s="489"/>
      <c r="S2" s="489"/>
      <c r="T2" s="490"/>
    </row>
    <row r="3" spans="2:20" ht="30" customHeight="1" thickBot="1" x14ac:dyDescent="0.25">
      <c r="B3" s="513"/>
      <c r="C3" s="518" t="s">
        <v>673</v>
      </c>
      <c r="D3" s="519"/>
      <c r="E3" s="155"/>
      <c r="F3" s="215">
        <f>IF(__pns_kedudukan="Tugas Belajar",__pengukuran_final_tubel,__pengukuran_final)</f>
        <v>92</v>
      </c>
      <c r="G3" s="156" t="s">
        <v>674</v>
      </c>
      <c r="H3" s="157">
        <v>0.6</v>
      </c>
      <c r="I3" s="158">
        <f>F3*H3</f>
        <v>55.199999999999996</v>
      </c>
      <c r="K3" s="499" t="s">
        <v>675</v>
      </c>
      <c r="L3" s="500"/>
      <c r="M3" s="500"/>
      <c r="N3" s="500"/>
      <c r="O3" s="500"/>
      <c r="P3" s="500"/>
      <c r="Q3" s="500"/>
      <c r="R3" s="500"/>
      <c r="S3" s="500"/>
      <c r="T3" s="501"/>
    </row>
    <row r="4" spans="2:20" ht="30" customHeight="1" thickBot="1" x14ac:dyDescent="0.25">
      <c r="B4" s="513"/>
      <c r="C4" s="520" t="s">
        <v>676</v>
      </c>
      <c r="D4" s="486" t="s">
        <v>677</v>
      </c>
      <c r="E4" s="487"/>
      <c r="F4" s="335">
        <v>86</v>
      </c>
      <c r="G4" s="484" t="str">
        <f>INDEX(TabutNilai[Sebutan],MATCH(F4,TabutNilai[Perilaku],-1),1)</f>
        <v>Baik</v>
      </c>
      <c r="H4" s="485" t="str">
        <f>INDEX(TabutNilai[Sebutan],MATCH(E4,TabutNilai[Perilaku],-1),1)</f>
        <v>-</v>
      </c>
      <c r="I4" s="216"/>
      <c r="K4" s="174"/>
      <c r="L4" s="167"/>
      <c r="M4" s="167"/>
      <c r="N4" s="167"/>
      <c r="O4" s="167"/>
      <c r="P4" s="167"/>
      <c r="Q4" s="167"/>
      <c r="R4" s="167"/>
      <c r="S4" s="167"/>
      <c r="T4" s="175"/>
    </row>
    <row r="5" spans="2:20" ht="30" customHeight="1" thickBot="1" x14ac:dyDescent="0.25">
      <c r="B5" s="513"/>
      <c r="C5" s="521"/>
      <c r="D5" s="486" t="s">
        <v>678</v>
      </c>
      <c r="E5" s="487"/>
      <c r="F5" s="335">
        <v>83</v>
      </c>
      <c r="G5" s="484" t="str">
        <f>INDEX(TabutNilai[Sebutan],MATCH(F5,TabutNilai[Perilaku],-1),1)</f>
        <v>Baik</v>
      </c>
      <c r="H5" s="485" t="str">
        <f>INDEX(TabutNilai[Sebutan],MATCH(E5,TabutNilai[Perilaku],-1),1)</f>
        <v>-</v>
      </c>
      <c r="I5" s="216"/>
      <c r="K5" s="174"/>
      <c r="L5" s="167"/>
      <c r="M5" s="167"/>
      <c r="N5" s="167"/>
      <c r="O5" s="167"/>
      <c r="P5" s="167"/>
      <c r="Q5" s="167"/>
      <c r="R5" s="167"/>
      <c r="S5" s="167"/>
      <c r="T5" s="175"/>
    </row>
    <row r="6" spans="2:20" ht="30" customHeight="1" thickBot="1" x14ac:dyDescent="0.25">
      <c r="B6" s="513"/>
      <c r="C6" s="521"/>
      <c r="D6" s="486" t="s">
        <v>679</v>
      </c>
      <c r="E6" s="487"/>
      <c r="F6" s="335">
        <v>81</v>
      </c>
      <c r="G6" s="484" t="str">
        <f>INDEX(TabutNilai[Sebutan],MATCH(F6,TabutNilai[Perilaku],-1),1)</f>
        <v>Baik</v>
      </c>
      <c r="H6" s="485" t="str">
        <f>INDEX(TabutNilai[Sebutan],MATCH(E6,TabutNilai[Perilaku],-1),1)</f>
        <v>-</v>
      </c>
      <c r="I6" s="216"/>
      <c r="K6" s="174"/>
      <c r="L6" s="167"/>
      <c r="M6" s="167"/>
      <c r="N6" s="167"/>
      <c r="O6" s="167"/>
      <c r="P6" s="167"/>
      <c r="Q6" s="167"/>
      <c r="R6" s="167"/>
      <c r="S6" s="167"/>
      <c r="T6" s="175"/>
    </row>
    <row r="7" spans="2:20" ht="30" customHeight="1" thickBot="1" x14ac:dyDescent="0.25">
      <c r="B7" s="513"/>
      <c r="C7" s="521"/>
      <c r="D7" s="486" t="s">
        <v>680</v>
      </c>
      <c r="E7" s="487"/>
      <c r="F7" s="335">
        <v>83</v>
      </c>
      <c r="G7" s="484" t="str">
        <f>INDEX(TabutNilai[Sebutan],MATCH(F7,TabutNilai[Perilaku],-1),1)</f>
        <v>Baik</v>
      </c>
      <c r="H7" s="485" t="str">
        <f>INDEX(TabutNilai[Sebutan],MATCH(E7,TabutNilai[Perilaku],-1),1)</f>
        <v>-</v>
      </c>
      <c r="I7" s="216"/>
      <c r="K7" s="174"/>
      <c r="L7" s="167"/>
      <c r="M7" s="167"/>
      <c r="N7" s="167"/>
      <c r="O7" s="167"/>
      <c r="P7" s="167"/>
      <c r="Q7" s="167"/>
      <c r="R7" s="167"/>
      <c r="S7" s="167"/>
      <c r="T7" s="175"/>
    </row>
    <row r="8" spans="2:20" ht="30" customHeight="1" thickBot="1" x14ac:dyDescent="0.25">
      <c r="B8" s="513"/>
      <c r="C8" s="521"/>
      <c r="D8" s="486" t="s">
        <v>681</v>
      </c>
      <c r="E8" s="487"/>
      <c r="F8" s="335">
        <v>86</v>
      </c>
      <c r="G8" s="484" t="str">
        <f>INDEX(TabutNilai[Sebutan],MATCH(F8,TabutNilai[Perilaku],-1),1)</f>
        <v>Baik</v>
      </c>
      <c r="H8" s="485" t="str">
        <f>INDEX(TabutNilai[Sebutan],MATCH(E8,TabutNilai[Perilaku],-1),1)</f>
        <v>-</v>
      </c>
      <c r="I8" s="216"/>
      <c r="K8" s="174"/>
      <c r="L8" s="167"/>
      <c r="M8" s="167"/>
      <c r="N8" s="167"/>
      <c r="O8" s="167"/>
      <c r="P8" s="167"/>
      <c r="Q8" s="167"/>
      <c r="R8" s="167"/>
      <c r="S8" s="167"/>
      <c r="T8" s="175"/>
    </row>
    <row r="9" spans="2:20" ht="30" customHeight="1" thickBot="1" x14ac:dyDescent="0.25">
      <c r="B9" s="513"/>
      <c r="C9" s="521"/>
      <c r="D9" s="486" t="s">
        <v>682</v>
      </c>
      <c r="E9" s="487"/>
      <c r="F9" s="336"/>
      <c r="G9" s="484" t="str">
        <f>IF(F9&gt;0,IF(SUMPRODUCT((Tabur[Kode]="II.J.")*(Tabur[Durasi]))&gt;0,INDEX(TabutNilai[Sebutan],MATCH(F9,TabutNilai[Perilaku],-1),1),"II.J. Kosong"),IF(SUMPRODUCT((Tabur[Kode]="II.J.")*(Tabur[Durasi]))&gt;0,"II.J. Terisi",INDEX(TabutNilai[Sebutan],MATCH(F9,TabutNilai[Perilaku],-1),1)))</f>
        <v>-</v>
      </c>
      <c r="H9" s="485" t="str">
        <f>INDEX(TabutNilai[Sebutan],MATCH(E9,TabutNilai[Perilaku],-1),1)</f>
        <v>-</v>
      </c>
      <c r="I9" s="216"/>
      <c r="K9" s="174"/>
      <c r="L9" s="167"/>
      <c r="M9" s="167"/>
      <c r="N9" s="167"/>
      <c r="O9" s="167"/>
      <c r="P9" s="167"/>
      <c r="Q9" s="167"/>
      <c r="R9" s="167"/>
      <c r="S9" s="167"/>
      <c r="T9" s="175"/>
    </row>
    <row r="10" spans="2:20" ht="30" customHeight="1" thickBot="1" x14ac:dyDescent="0.25">
      <c r="B10" s="513"/>
      <c r="C10" s="521"/>
      <c r="D10" s="486" t="s">
        <v>683</v>
      </c>
      <c r="E10" s="487"/>
      <c r="F10" s="159">
        <f>IF(SUMPRODUCT((Tabur[Kode]="II.J.")*(Tabur[Durasi]))&gt;0,SUM(F4:F9),SUM(F4:F8))</f>
        <v>419</v>
      </c>
      <c r="G10" s="484"/>
      <c r="H10" s="485"/>
      <c r="I10" s="216"/>
      <c r="K10" s="491" t="s">
        <v>684</v>
      </c>
      <c r="L10" s="492"/>
      <c r="M10" s="492"/>
      <c r="N10" s="492"/>
      <c r="O10" s="492"/>
      <c r="P10" s="492"/>
      <c r="Q10" s="492"/>
      <c r="R10" s="492"/>
      <c r="S10" s="492"/>
      <c r="T10" s="493"/>
    </row>
    <row r="11" spans="2:20" ht="30" customHeight="1" thickBot="1" x14ac:dyDescent="0.25">
      <c r="B11" s="513"/>
      <c r="C11" s="521"/>
      <c r="D11" s="486" t="s">
        <v>685</v>
      </c>
      <c r="E11" s="487"/>
      <c r="F11" s="160">
        <f>IF(SUMPRODUCT((Tabur[Kode]="II.J.")*(Tabur[Durasi]))&gt;0,AVERAGE(F4:F9),AVERAGE(F4:F8))</f>
        <v>83.8</v>
      </c>
      <c r="G11" s="484" t="str">
        <f>INDEX(TabutNilai[Sebutan],MATCH(F11,TabutNilai[Perilaku],-1),1)</f>
        <v>Baik</v>
      </c>
      <c r="H11" s="485" t="str">
        <f>INDEX(TabutNilai[Sebutan],MATCH(E11,TabutNilai[Perilaku],-1),1)</f>
        <v>-</v>
      </c>
      <c r="I11" s="216"/>
      <c r="K11" s="488" t="s">
        <v>686</v>
      </c>
      <c r="L11" s="489"/>
      <c r="M11" s="489"/>
      <c r="N11" s="489"/>
      <c r="O11" s="489"/>
      <c r="P11" s="489"/>
      <c r="Q11" s="489"/>
      <c r="R11" s="489"/>
      <c r="S11" s="489"/>
      <c r="T11" s="490"/>
    </row>
    <row r="12" spans="2:20" ht="30" customHeight="1" thickBot="1" x14ac:dyDescent="0.25">
      <c r="B12" s="514"/>
      <c r="C12" s="522"/>
      <c r="D12" s="497" t="s">
        <v>687</v>
      </c>
      <c r="E12" s="498"/>
      <c r="F12" s="161">
        <f>F11</f>
        <v>83.8</v>
      </c>
      <c r="G12" s="162" t="s">
        <v>674</v>
      </c>
      <c r="H12" s="163">
        <v>0.4</v>
      </c>
      <c r="I12" s="158">
        <f>F12*H12</f>
        <v>33.520000000000003</v>
      </c>
      <c r="K12" s="499" t="s">
        <v>688</v>
      </c>
      <c r="L12" s="500"/>
      <c r="M12" s="500"/>
      <c r="N12" s="500"/>
      <c r="O12" s="500"/>
      <c r="P12" s="500"/>
      <c r="Q12" s="500"/>
      <c r="R12" s="500"/>
      <c r="S12" s="500"/>
      <c r="T12" s="501"/>
    </row>
    <row r="13" spans="2:20" ht="30" customHeight="1" thickBot="1" x14ac:dyDescent="0.25">
      <c r="B13" s="502"/>
      <c r="C13" s="503"/>
      <c r="D13" s="503"/>
      <c r="E13" s="503"/>
      <c r="F13" s="503"/>
      <c r="G13" s="503"/>
      <c r="H13" s="504"/>
      <c r="I13" s="164">
        <f>I12+I3</f>
        <v>88.72</v>
      </c>
      <c r="K13" s="174"/>
      <c r="L13" s="167"/>
      <c r="M13" s="167"/>
      <c r="N13" s="167"/>
      <c r="O13" s="167"/>
      <c r="P13" s="167"/>
      <c r="Q13" s="167"/>
      <c r="R13" s="167"/>
      <c r="S13" s="167"/>
      <c r="T13" s="175"/>
    </row>
    <row r="14" spans="2:20" ht="30" customHeight="1" thickBot="1" x14ac:dyDescent="0.25">
      <c r="B14" s="505" t="s">
        <v>689</v>
      </c>
      <c r="C14" s="506"/>
      <c r="D14" s="506"/>
      <c r="E14" s="506"/>
      <c r="F14" s="506"/>
      <c r="G14" s="506"/>
      <c r="H14" s="506"/>
      <c r="I14" s="165" t="str">
        <f>INDEX(TabutNilai[Sebutan],MATCH(I13,TabutNilai[Perilaku],-1),1)</f>
        <v>Baik</v>
      </c>
      <c r="J14" s="166"/>
      <c r="K14" s="174"/>
      <c r="L14" s="167"/>
      <c r="M14" s="167"/>
      <c r="N14" s="167"/>
      <c r="O14" s="167"/>
      <c r="P14" s="167"/>
      <c r="Q14" s="167"/>
      <c r="R14" s="167"/>
      <c r="S14" s="167"/>
      <c r="T14" s="175"/>
    </row>
    <row r="15" spans="2:20" ht="30" customHeight="1" x14ac:dyDescent="0.2">
      <c r="B15" s="507" t="s">
        <v>690</v>
      </c>
      <c r="C15" s="508"/>
      <c r="D15" s="508"/>
      <c r="E15" s="508"/>
      <c r="F15" s="508"/>
      <c r="G15" s="508"/>
      <c r="H15" s="508"/>
      <c r="I15" s="509"/>
      <c r="K15" s="174"/>
      <c r="L15" s="167"/>
      <c r="M15" s="167"/>
      <c r="N15" s="167"/>
      <c r="O15" s="167"/>
      <c r="P15" s="167"/>
      <c r="Q15" s="167"/>
      <c r="R15" s="167"/>
      <c r="S15" s="167"/>
      <c r="T15" s="175"/>
    </row>
    <row r="16" spans="2:20" ht="30" customHeight="1" x14ac:dyDescent="0.2">
      <c r="B16" s="510" t="s">
        <v>691</v>
      </c>
      <c r="C16" s="511"/>
      <c r="D16" s="511"/>
      <c r="E16" s="511"/>
      <c r="F16" s="511"/>
      <c r="G16" s="511"/>
      <c r="H16" s="511"/>
      <c r="I16" s="509"/>
      <c r="K16" s="174"/>
      <c r="L16" s="167"/>
      <c r="M16" s="167"/>
      <c r="N16" s="167"/>
      <c r="O16" s="167"/>
      <c r="P16" s="167"/>
      <c r="Q16" s="167"/>
      <c r="R16" s="167"/>
      <c r="S16" s="167"/>
      <c r="T16" s="175"/>
    </row>
    <row r="17" spans="2:20" ht="30" customHeight="1" x14ac:dyDescent="0.2">
      <c r="B17" s="510"/>
      <c r="C17" s="511"/>
      <c r="D17" s="511"/>
      <c r="E17" s="511"/>
      <c r="F17" s="511"/>
      <c r="G17" s="511"/>
      <c r="H17" s="511"/>
      <c r="I17" s="509"/>
      <c r="K17" s="176"/>
      <c r="L17" s="167"/>
      <c r="M17" s="167"/>
      <c r="N17" s="167"/>
      <c r="O17" s="167"/>
      <c r="P17" s="167"/>
      <c r="Q17" s="167"/>
      <c r="R17" s="167"/>
      <c r="S17" s="167"/>
      <c r="T17" s="175"/>
    </row>
    <row r="18" spans="2:20" ht="30" customHeight="1" x14ac:dyDescent="0.2">
      <c r="B18" s="177"/>
      <c r="C18" s="178"/>
      <c r="D18" s="178"/>
      <c r="E18" s="178"/>
      <c r="F18" s="178"/>
      <c r="G18" s="178"/>
      <c r="H18" s="178"/>
      <c r="I18" s="179"/>
      <c r="K18" s="176"/>
      <c r="L18" s="167"/>
      <c r="M18" s="167"/>
      <c r="N18" s="167"/>
      <c r="O18" s="167"/>
      <c r="P18" s="167"/>
      <c r="Q18" s="167"/>
      <c r="R18" s="167"/>
      <c r="S18" s="167"/>
      <c r="T18" s="175"/>
    </row>
    <row r="19" spans="2:20" ht="30" customHeight="1" x14ac:dyDescent="0.2">
      <c r="B19" s="177"/>
      <c r="C19" s="178"/>
      <c r="D19" s="178"/>
      <c r="E19" s="178"/>
      <c r="F19" s="178"/>
      <c r="G19" s="178"/>
      <c r="H19" s="178"/>
      <c r="I19" s="179"/>
      <c r="K19" s="176"/>
      <c r="L19" s="167"/>
      <c r="M19" s="167"/>
      <c r="N19" s="167"/>
      <c r="O19" s="167"/>
      <c r="P19" s="167"/>
      <c r="Q19" s="167"/>
      <c r="R19" s="167"/>
      <c r="S19" s="167"/>
      <c r="T19" s="175"/>
    </row>
    <row r="20" spans="2:20" ht="30" customHeight="1" x14ac:dyDescent="0.2">
      <c r="B20" s="177"/>
      <c r="C20" s="178"/>
      <c r="D20" s="178"/>
      <c r="E20" s="178"/>
      <c r="F20" s="178"/>
      <c r="G20" s="178"/>
      <c r="H20" s="178"/>
      <c r="I20" s="179"/>
      <c r="K20" s="176"/>
      <c r="L20" s="167"/>
      <c r="M20" s="167"/>
      <c r="N20" s="167"/>
      <c r="O20" s="167"/>
      <c r="P20" s="167"/>
      <c r="Q20" s="167"/>
      <c r="R20" s="167"/>
      <c r="S20" s="167"/>
      <c r="T20" s="175"/>
    </row>
    <row r="21" spans="2:20" ht="30" customHeight="1" x14ac:dyDescent="0.2">
      <c r="B21" s="510"/>
      <c r="C21" s="511"/>
      <c r="D21" s="511"/>
      <c r="E21" s="511"/>
      <c r="F21" s="511"/>
      <c r="G21" s="511"/>
      <c r="H21" s="511"/>
      <c r="I21" s="509"/>
      <c r="K21" s="176"/>
      <c r="L21" s="167"/>
      <c r="M21" s="167"/>
      <c r="N21" s="167"/>
      <c r="O21" s="167"/>
      <c r="P21" s="167"/>
      <c r="Q21" s="167"/>
      <c r="R21" s="167"/>
      <c r="S21" s="167"/>
      <c r="T21" s="175"/>
    </row>
    <row r="22" spans="2:20" ht="30" customHeight="1" x14ac:dyDescent="0.2">
      <c r="B22" s="510"/>
      <c r="C22" s="511"/>
      <c r="D22" s="511"/>
      <c r="E22" s="511"/>
      <c r="F22" s="511"/>
      <c r="G22" s="511"/>
      <c r="H22" s="511"/>
      <c r="I22" s="509"/>
      <c r="K22" s="180"/>
      <c r="L22" s="167"/>
      <c r="M22" s="167"/>
      <c r="N22" s="167"/>
      <c r="O22" s="167"/>
      <c r="P22" s="167"/>
      <c r="Q22" s="167"/>
      <c r="R22" s="167"/>
      <c r="S22" s="167"/>
      <c r="T22" s="175"/>
    </row>
    <row r="23" spans="2:20" ht="30" customHeight="1" x14ac:dyDescent="0.2">
      <c r="B23" s="523" t="s">
        <v>684</v>
      </c>
      <c r="C23" s="495"/>
      <c r="D23" s="495"/>
      <c r="E23" s="495"/>
      <c r="F23" s="495"/>
      <c r="G23" s="495"/>
      <c r="H23" s="495"/>
      <c r="I23" s="524"/>
      <c r="K23" s="494" t="s">
        <v>684</v>
      </c>
      <c r="L23" s="495"/>
      <c r="M23" s="495"/>
      <c r="N23" s="495"/>
      <c r="O23" s="495"/>
      <c r="P23" s="495"/>
      <c r="Q23" s="495"/>
      <c r="R23" s="495"/>
      <c r="S23" s="495"/>
      <c r="T23" s="496"/>
    </row>
    <row r="24" spans="2:20" ht="30" customHeight="1" thickBot="1" x14ac:dyDescent="0.25">
      <c r="B24" s="525"/>
      <c r="C24" s="526"/>
      <c r="D24" s="526"/>
      <c r="E24" s="526"/>
      <c r="F24" s="526"/>
      <c r="G24" s="526"/>
      <c r="H24" s="526"/>
      <c r="I24" s="527"/>
      <c r="K24" s="181"/>
      <c r="L24" s="182"/>
      <c r="M24" s="182"/>
      <c r="N24" s="182"/>
      <c r="O24" s="182"/>
      <c r="P24" s="182"/>
      <c r="Q24" s="182"/>
      <c r="R24" s="182"/>
      <c r="S24" s="182"/>
      <c r="T24" s="183"/>
    </row>
    <row r="25" spans="2:20" ht="15" thickBot="1" x14ac:dyDescent="0.25">
      <c r="K25" s="184"/>
      <c r="L25" s="167"/>
    </row>
    <row r="26" spans="2:20" ht="15" x14ac:dyDescent="0.2">
      <c r="B26" s="185"/>
      <c r="C26" s="186"/>
      <c r="D26" s="186"/>
      <c r="E26" s="186"/>
      <c r="F26" s="186"/>
      <c r="G26" s="186"/>
      <c r="H26" s="186"/>
      <c r="I26" s="187"/>
      <c r="K26" s="184" t="s">
        <v>637</v>
      </c>
      <c r="L26" s="167"/>
    </row>
    <row r="27" spans="2:20" x14ac:dyDescent="0.2">
      <c r="B27" s="188" t="s">
        <v>105</v>
      </c>
      <c r="C27" s="189" t="s">
        <v>692</v>
      </c>
      <c r="D27" s="167"/>
      <c r="E27" s="167"/>
      <c r="F27" s="167"/>
      <c r="G27" s="167"/>
      <c r="H27" s="167"/>
      <c r="I27" s="175"/>
      <c r="K27" s="184"/>
      <c r="L27" s="167"/>
    </row>
    <row r="28" spans="2:20" x14ac:dyDescent="0.2">
      <c r="B28" s="176"/>
      <c r="C28" s="167"/>
      <c r="D28" s="167"/>
      <c r="E28" s="167"/>
      <c r="F28" s="167"/>
      <c r="G28" s="167"/>
      <c r="H28" s="167"/>
      <c r="I28" s="175"/>
      <c r="K28" s="184"/>
      <c r="L28" s="167"/>
    </row>
    <row r="29" spans="2:20" x14ac:dyDescent="0.2">
      <c r="B29" s="176"/>
      <c r="C29" s="167"/>
      <c r="D29" s="167"/>
      <c r="E29" s="167"/>
      <c r="F29" s="167"/>
      <c r="G29" s="167"/>
      <c r="H29" s="167"/>
      <c r="I29" s="175"/>
      <c r="K29" s="184"/>
      <c r="L29" s="167"/>
    </row>
    <row r="30" spans="2:20" x14ac:dyDescent="0.2">
      <c r="B30" s="176"/>
      <c r="C30" s="167"/>
      <c r="D30" s="167"/>
      <c r="E30" s="167"/>
      <c r="F30" s="167"/>
      <c r="G30" s="167"/>
      <c r="H30" s="167"/>
      <c r="I30" s="175"/>
      <c r="K30" s="184"/>
      <c r="L30" s="167"/>
    </row>
    <row r="31" spans="2:20" x14ac:dyDescent="0.2">
      <c r="B31" s="176"/>
      <c r="C31" s="167"/>
      <c r="D31" s="167"/>
      <c r="E31" s="167"/>
      <c r="F31" s="167"/>
      <c r="G31" s="167"/>
      <c r="H31" s="167"/>
      <c r="I31" s="175"/>
      <c r="K31" s="190" t="s">
        <v>693</v>
      </c>
      <c r="L31" s="190"/>
      <c r="M31" s="190"/>
      <c r="N31" s="190"/>
      <c r="O31" s="190"/>
      <c r="P31" s="190"/>
      <c r="Q31" s="190"/>
      <c r="R31" s="190"/>
      <c r="S31" s="190"/>
      <c r="T31" s="190"/>
    </row>
    <row r="32" spans="2:20" x14ac:dyDescent="0.2">
      <c r="B32" s="176"/>
      <c r="C32" s="167"/>
      <c r="D32" s="167"/>
      <c r="E32" s="167"/>
      <c r="F32" s="167"/>
      <c r="G32" s="167"/>
      <c r="H32" s="167"/>
      <c r="I32" s="175"/>
      <c r="K32" s="190" t="s">
        <v>862</v>
      </c>
      <c r="L32" s="190"/>
      <c r="M32" s="190"/>
      <c r="N32" s="190"/>
      <c r="O32" s="190"/>
      <c r="P32" s="190"/>
      <c r="Q32" s="190"/>
      <c r="R32" s="190"/>
      <c r="S32" s="190"/>
      <c r="T32" s="190"/>
    </row>
    <row r="33" spans="2:20" x14ac:dyDescent="0.2">
      <c r="B33" s="176"/>
      <c r="C33" s="167"/>
      <c r="D33" s="167"/>
      <c r="E33" s="167"/>
      <c r="F33" s="167"/>
      <c r="G33" s="167"/>
      <c r="H33" s="167"/>
      <c r="I33" s="175"/>
      <c r="K33" s="167"/>
      <c r="L33" s="167"/>
    </row>
    <row r="34" spans="2:20" x14ac:dyDescent="0.2">
      <c r="B34" s="176"/>
      <c r="C34" s="167"/>
      <c r="D34" s="167"/>
      <c r="E34" s="167"/>
      <c r="F34" s="167"/>
      <c r="G34" s="167"/>
      <c r="H34" s="167"/>
      <c r="I34" s="175"/>
      <c r="K34" s="167" t="str">
        <f>'IDENTITAS dan TANGGAL PENETAPAN'!D26</f>
        <v>UNIVERSITAS MUHAMMADIYAH JEMBER</v>
      </c>
      <c r="L34" s="167"/>
      <c r="Q34" s="205" t="s">
        <v>694</v>
      </c>
    </row>
    <row r="35" spans="2:20" ht="15" thickBot="1" x14ac:dyDescent="0.25">
      <c r="B35" s="176"/>
      <c r="C35" s="167"/>
      <c r="D35" s="167"/>
      <c r="E35" s="167"/>
      <c r="F35" s="167"/>
      <c r="G35" s="167"/>
      <c r="H35" s="167"/>
      <c r="I35" s="175"/>
      <c r="K35" s="167" t="str">
        <f>__identitas_unit_kerja</f>
        <v>LEMBAGA LAYANAN PENDIDIKAN TINGGI WILAYAH VII</v>
      </c>
      <c r="Q35" s="205" t="s">
        <v>695</v>
      </c>
      <c r="R35" s="205" t="str">
        <f>__identitas_jangka_waktu</f>
        <v>2 Januari s.d. 31 Desember 2023</v>
      </c>
    </row>
    <row r="36" spans="2:20" ht="30" customHeight="1" x14ac:dyDescent="0.2">
      <c r="B36" s="176"/>
      <c r="C36" s="167"/>
      <c r="D36" s="167"/>
      <c r="E36" s="167"/>
      <c r="F36" s="167"/>
      <c r="G36" s="167"/>
      <c r="H36" s="167"/>
      <c r="I36" s="175"/>
      <c r="K36" s="502" t="s">
        <v>696</v>
      </c>
      <c r="L36" s="528" t="s">
        <v>697</v>
      </c>
      <c r="M36" s="529"/>
      <c r="N36" s="529"/>
      <c r="O36" s="529"/>
      <c r="P36" s="529"/>
      <c r="Q36" s="529"/>
      <c r="R36" s="529"/>
      <c r="S36" s="529"/>
      <c r="T36" s="530"/>
    </row>
    <row r="37" spans="2:20" ht="30" customHeight="1" thickBot="1" x14ac:dyDescent="0.25">
      <c r="B37" s="191"/>
      <c r="C37" s="182"/>
      <c r="D37" s="182"/>
      <c r="E37" s="182"/>
      <c r="F37" s="182"/>
      <c r="G37" s="182"/>
      <c r="H37" s="182"/>
      <c r="I37" s="183"/>
      <c r="K37" s="523"/>
      <c r="L37" s="531" t="s">
        <v>704</v>
      </c>
      <c r="M37" s="532"/>
      <c r="N37" s="532"/>
      <c r="O37" s="533"/>
      <c r="P37" s="534" t="str">
        <f>__pns_nama</f>
        <v>Rosita Yanuarti, S.Kom., M.Cs</v>
      </c>
      <c r="Q37" s="535"/>
      <c r="R37" s="535"/>
      <c r="S37" s="535"/>
      <c r="T37" s="536"/>
    </row>
    <row r="38" spans="2:20" ht="30" customHeight="1" x14ac:dyDescent="0.15">
      <c r="B38" s="185"/>
      <c r="C38" s="186"/>
      <c r="D38" s="186"/>
      <c r="E38" s="204" t="str">
        <f>CONCATENATE("9. DIBUAT TANGGAL, ",__identitas_tgl_penilai)</f>
        <v>9. DIBUAT TANGGAL, 2 Januari 2024</v>
      </c>
      <c r="F38" s="168"/>
      <c r="G38" s="168"/>
      <c r="H38" s="168"/>
      <c r="I38" s="192"/>
      <c r="K38" s="523"/>
      <c r="L38" s="531" t="s">
        <v>866</v>
      </c>
      <c r="M38" s="532"/>
      <c r="N38" s="532"/>
      <c r="O38" s="533"/>
      <c r="P38" s="534" t="str">
        <f>__pns_nip</f>
        <v>1986012911509632</v>
      </c>
      <c r="Q38" s="535"/>
      <c r="R38" s="535"/>
      <c r="S38" s="535"/>
      <c r="T38" s="536"/>
    </row>
    <row r="39" spans="2:20" ht="30" customHeight="1" x14ac:dyDescent="0.2">
      <c r="B39" s="176"/>
      <c r="C39" s="167"/>
      <c r="D39" s="167"/>
      <c r="E39" s="203" t="s">
        <v>698</v>
      </c>
      <c r="F39" s="168"/>
      <c r="G39" s="168"/>
      <c r="H39" s="168"/>
      <c r="I39" s="192"/>
      <c r="K39" s="523"/>
      <c r="L39" s="531" t="s">
        <v>705</v>
      </c>
      <c r="M39" s="532"/>
      <c r="N39" s="532"/>
      <c r="O39" s="533"/>
      <c r="P39" s="534" t="str">
        <f>__pns_pangkat</f>
        <v>Penata Muda Tingkat I , III/b</v>
      </c>
      <c r="Q39" s="535"/>
      <c r="R39" s="535"/>
      <c r="S39" s="535"/>
      <c r="T39" s="536"/>
    </row>
    <row r="40" spans="2:20" ht="30" customHeight="1" x14ac:dyDescent="0.2">
      <c r="B40" s="176"/>
      <c r="C40" s="167"/>
      <c r="D40" s="167"/>
      <c r="E40" s="167"/>
      <c r="F40" s="167"/>
      <c r="G40" s="167"/>
      <c r="H40" s="167"/>
      <c r="I40" s="175"/>
      <c r="K40" s="523"/>
      <c r="L40" s="531" t="s">
        <v>706</v>
      </c>
      <c r="M40" s="532"/>
      <c r="N40" s="532"/>
      <c r="O40" s="533"/>
      <c r="P40" s="534" t="str">
        <f>__pns_jabatan</f>
        <v>Asisten Ahli</v>
      </c>
      <c r="Q40" s="535"/>
      <c r="R40" s="535"/>
      <c r="S40" s="535"/>
      <c r="T40" s="536"/>
    </row>
    <row r="41" spans="2:20" ht="30" customHeight="1" thickBot="1" x14ac:dyDescent="0.2">
      <c r="B41" s="176"/>
      <c r="C41" s="167"/>
      <c r="D41" s="167"/>
      <c r="E41" s="169" t="str">
        <f>__penilai_nama</f>
        <v>Ari Eko Wardoyo, S.T., M.Kom.</v>
      </c>
      <c r="F41" s="193"/>
      <c r="G41" s="193"/>
      <c r="H41" s="193"/>
      <c r="I41" s="194"/>
      <c r="K41" s="505"/>
      <c r="L41" s="537" t="s">
        <v>707</v>
      </c>
      <c r="M41" s="538"/>
      <c r="N41" s="538"/>
      <c r="O41" s="539"/>
      <c r="P41" s="540" t="str">
        <f>CONCATENATE("Universitas Muhammadiyah Jember pada",CHAR(10),__pns_unit)</f>
        <v>Universitas Muhammadiyah Jember pada
Teknik Informatika</v>
      </c>
      <c r="Q41" s="541"/>
      <c r="R41" s="541"/>
      <c r="S41" s="541"/>
      <c r="T41" s="542"/>
    </row>
    <row r="42" spans="2:20" ht="30" customHeight="1" x14ac:dyDescent="0.2">
      <c r="B42" s="176"/>
      <c r="D42" s="167"/>
      <c r="E42" s="170" t="str">
        <f>CONCATENATE("NIP/NPK ",__penilai_nip)</f>
        <v>NIP/NPK 197502142005011001</v>
      </c>
      <c r="F42" s="195"/>
      <c r="G42" s="195"/>
      <c r="H42" s="195"/>
      <c r="I42" s="196"/>
      <c r="K42" s="502" t="s">
        <v>699</v>
      </c>
      <c r="L42" s="528" t="s">
        <v>698</v>
      </c>
      <c r="M42" s="529"/>
      <c r="N42" s="529"/>
      <c r="O42" s="529"/>
      <c r="P42" s="529"/>
      <c r="Q42" s="529"/>
      <c r="R42" s="529"/>
      <c r="S42" s="529"/>
      <c r="T42" s="530"/>
    </row>
    <row r="43" spans="2:20" ht="30" customHeight="1" x14ac:dyDescent="0.15">
      <c r="B43" s="176"/>
      <c r="C43" s="204" t="str">
        <f>CONCATENATE("10. DITERIMA TANGGAL, ",__identitas_tgl_pns)</f>
        <v>10. DITERIMA TANGGAL, 4  Januari 2024</v>
      </c>
      <c r="D43" s="197"/>
      <c r="E43" s="198"/>
      <c r="F43" s="199"/>
      <c r="G43" s="184"/>
      <c r="H43" s="184"/>
      <c r="I43" s="200"/>
      <c r="K43" s="523"/>
      <c r="L43" s="531" t="s">
        <v>704</v>
      </c>
      <c r="M43" s="532"/>
      <c r="N43" s="532"/>
      <c r="O43" s="533"/>
      <c r="P43" s="534" t="str">
        <f>__penilai_nama</f>
        <v>Ari Eko Wardoyo, S.T., M.Kom.</v>
      </c>
      <c r="Q43" s="535"/>
      <c r="R43" s="535"/>
      <c r="S43" s="535"/>
      <c r="T43" s="536"/>
    </row>
    <row r="44" spans="2:20" ht="30" customHeight="1" x14ac:dyDescent="0.2">
      <c r="B44" s="188"/>
      <c r="C44" s="203" t="s">
        <v>867</v>
      </c>
      <c r="D44" s="197"/>
      <c r="E44" s="198"/>
      <c r="F44" s="167"/>
      <c r="G44" s="167"/>
      <c r="H44" s="167"/>
      <c r="I44" s="175"/>
      <c r="K44" s="523"/>
      <c r="L44" s="531" t="s">
        <v>866</v>
      </c>
      <c r="M44" s="532"/>
      <c r="N44" s="532"/>
      <c r="O44" s="533"/>
      <c r="P44" s="543" t="str">
        <f>__penilai_nip</f>
        <v>197502142005011001</v>
      </c>
      <c r="Q44" s="535"/>
      <c r="R44" s="535"/>
      <c r="S44" s="535"/>
      <c r="T44" s="536"/>
    </row>
    <row r="45" spans="2:20" ht="30" customHeight="1" x14ac:dyDescent="0.2">
      <c r="B45" s="176"/>
      <c r="C45" s="189"/>
      <c r="D45" s="167"/>
      <c r="E45" s="167"/>
      <c r="F45" s="167"/>
      <c r="G45" s="167"/>
      <c r="H45" s="167"/>
      <c r="I45" s="175"/>
      <c r="K45" s="523"/>
      <c r="L45" s="531" t="s">
        <v>705</v>
      </c>
      <c r="M45" s="532"/>
      <c r="N45" s="532"/>
      <c r="O45" s="533"/>
      <c r="P45" s="534" t="str">
        <f>__penilai_pangkat</f>
        <v>Penata Muda Tk I/III/b</v>
      </c>
      <c r="Q45" s="535"/>
      <c r="R45" s="535"/>
      <c r="S45" s="535"/>
      <c r="T45" s="536"/>
    </row>
    <row r="46" spans="2:20" ht="30" customHeight="1" x14ac:dyDescent="0.15">
      <c r="B46" s="176"/>
      <c r="C46" s="171" t="str">
        <f>__pns_nama</f>
        <v>Rosita Yanuarti, S.Kom., M.Cs</v>
      </c>
      <c r="D46" s="201"/>
      <c r="E46" s="201"/>
      <c r="F46" s="167"/>
      <c r="G46" s="167"/>
      <c r="H46" s="167"/>
      <c r="I46" s="175"/>
      <c r="K46" s="523"/>
      <c r="L46" s="531" t="s">
        <v>706</v>
      </c>
      <c r="M46" s="532"/>
      <c r="N46" s="532"/>
      <c r="O46" s="533"/>
      <c r="P46" s="534" t="str">
        <f>__penilai_jabatan</f>
        <v>Ketua Program Studi</v>
      </c>
      <c r="Q46" s="535"/>
      <c r="R46" s="535"/>
      <c r="S46" s="535"/>
      <c r="T46" s="536"/>
    </row>
    <row r="47" spans="2:20" ht="30" customHeight="1" thickBot="1" x14ac:dyDescent="0.25">
      <c r="B47" s="176"/>
      <c r="C47" s="172" t="str">
        <f>CONCATENATE("NIP/NPK ",__pns_nip)</f>
        <v>NIP/NPK 1986012911509632</v>
      </c>
      <c r="D47" s="197"/>
      <c r="E47" s="197"/>
      <c r="F47" s="167"/>
      <c r="G47" s="167"/>
      <c r="H47" s="167"/>
      <c r="I47" s="175"/>
      <c r="K47" s="505"/>
      <c r="L47" s="537" t="s">
        <v>707</v>
      </c>
      <c r="M47" s="538"/>
      <c r="N47" s="538"/>
      <c r="O47" s="539"/>
      <c r="P47" s="544" t="str">
        <f>__penilai_unit</f>
        <v>FAKULTAS TEKNIK</v>
      </c>
      <c r="Q47" s="545"/>
      <c r="R47" s="545"/>
      <c r="S47" s="545"/>
      <c r="T47" s="546"/>
    </row>
    <row r="48" spans="2:20" ht="30" customHeight="1" x14ac:dyDescent="0.15">
      <c r="B48" s="176"/>
      <c r="C48" s="202"/>
      <c r="D48" s="202"/>
      <c r="E48" s="204" t="str">
        <f>CONCATENATE("11. DITERIMA TANGGAL, ",__identitas_tgl_pejabat)</f>
        <v>11. DITERIMA TANGGAL, 6  Januari 2024</v>
      </c>
      <c r="F48" s="168"/>
      <c r="G48" s="168"/>
      <c r="H48" s="168"/>
      <c r="I48" s="192"/>
      <c r="K48" s="502" t="s">
        <v>700</v>
      </c>
      <c r="L48" s="528" t="s">
        <v>701</v>
      </c>
      <c r="M48" s="529"/>
      <c r="N48" s="529"/>
      <c r="O48" s="529"/>
      <c r="P48" s="529"/>
      <c r="Q48" s="529"/>
      <c r="R48" s="529"/>
      <c r="S48" s="529"/>
      <c r="T48" s="530"/>
    </row>
    <row r="49" spans="2:20" ht="30" customHeight="1" x14ac:dyDescent="0.2">
      <c r="B49" s="176"/>
      <c r="C49" s="167"/>
      <c r="D49" s="167"/>
      <c r="E49" s="203" t="s">
        <v>701</v>
      </c>
      <c r="F49" s="168"/>
      <c r="G49" s="168"/>
      <c r="H49" s="168"/>
      <c r="I49" s="192"/>
      <c r="K49" s="523"/>
      <c r="L49" s="531" t="s">
        <v>704</v>
      </c>
      <c r="M49" s="532"/>
      <c r="N49" s="532"/>
      <c r="O49" s="533"/>
      <c r="P49" s="534" t="str">
        <f>__pejabat_nama</f>
        <v>Prof. Dr.Ir. Nanang Saiful Rizal, S.T., M.T., IPM.</v>
      </c>
      <c r="Q49" s="535"/>
      <c r="R49" s="535"/>
      <c r="S49" s="535"/>
      <c r="T49" s="536"/>
    </row>
    <row r="50" spans="2:20" ht="30" customHeight="1" x14ac:dyDescent="0.2">
      <c r="B50" s="176"/>
      <c r="C50" s="167"/>
      <c r="D50" s="167"/>
      <c r="E50" s="167"/>
      <c r="F50" s="167"/>
      <c r="G50" s="167"/>
      <c r="H50" s="167"/>
      <c r="I50" s="175"/>
      <c r="K50" s="523"/>
      <c r="L50" s="531" t="s">
        <v>866</v>
      </c>
      <c r="M50" s="532"/>
      <c r="N50" s="532"/>
      <c r="O50" s="533"/>
      <c r="P50" s="543" t="str">
        <f>__pejabat_nip</f>
        <v>1978040510308366</v>
      </c>
      <c r="Q50" s="535"/>
      <c r="R50" s="535"/>
      <c r="S50" s="535"/>
      <c r="T50" s="536"/>
    </row>
    <row r="51" spans="2:20" ht="30" customHeight="1" x14ac:dyDescent="0.15">
      <c r="B51" s="176"/>
      <c r="C51" s="167"/>
      <c r="D51" s="167"/>
      <c r="E51" s="169" t="str">
        <f>__pejabat_nama</f>
        <v>Prof. Dr.Ir. Nanang Saiful Rizal, S.T., M.T., IPM.</v>
      </c>
      <c r="F51" s="193"/>
      <c r="G51" s="193"/>
      <c r="H51" s="193"/>
      <c r="I51" s="194"/>
      <c r="K51" s="523"/>
      <c r="L51" s="531" t="s">
        <v>705</v>
      </c>
      <c r="M51" s="532"/>
      <c r="N51" s="532"/>
      <c r="O51" s="533"/>
      <c r="P51" s="534" t="str">
        <f>__pejabat_pangkat</f>
        <v>Pembina/IVA</v>
      </c>
      <c r="Q51" s="535"/>
      <c r="R51" s="535"/>
      <c r="S51" s="535"/>
      <c r="T51" s="536"/>
    </row>
    <row r="52" spans="2:20" ht="30" customHeight="1" x14ac:dyDescent="0.2">
      <c r="B52" s="176"/>
      <c r="C52" s="167"/>
      <c r="D52" s="167"/>
      <c r="E52" s="170" t="str">
        <f>CONCATENATE("NIP/NPK ",__pejabat_nip)</f>
        <v>NIP/NPK 1978040510308366</v>
      </c>
      <c r="F52" s="195"/>
      <c r="G52" s="195"/>
      <c r="H52" s="195"/>
      <c r="I52" s="196"/>
      <c r="K52" s="523"/>
      <c r="L52" s="531" t="s">
        <v>706</v>
      </c>
      <c r="M52" s="532"/>
      <c r="N52" s="532"/>
      <c r="O52" s="533"/>
      <c r="P52" s="534" t="str">
        <f>__pejabat_jabatan</f>
        <v>Dekan Fakultas Teknik</v>
      </c>
      <c r="Q52" s="535"/>
      <c r="R52" s="535"/>
      <c r="S52" s="535"/>
      <c r="T52" s="536"/>
    </row>
    <row r="53" spans="2:20" ht="30" customHeight="1" thickBot="1" x14ac:dyDescent="0.25">
      <c r="B53" s="191"/>
      <c r="C53" s="182"/>
      <c r="D53" s="182"/>
      <c r="E53" s="182"/>
      <c r="F53" s="182"/>
      <c r="G53" s="182"/>
      <c r="H53" s="182"/>
      <c r="I53" s="183"/>
      <c r="K53" s="505"/>
      <c r="L53" s="537" t="s">
        <v>707</v>
      </c>
      <c r="M53" s="538"/>
      <c r="N53" s="538"/>
      <c r="O53" s="539"/>
      <c r="P53" s="544" t="str">
        <f>__pejabat_unit</f>
        <v>FAKULTAS TEKNIK</v>
      </c>
      <c r="Q53" s="545"/>
      <c r="R53" s="545"/>
      <c r="S53" s="545"/>
      <c r="T53" s="546"/>
    </row>
  </sheetData>
  <mergeCells count="72">
    <mergeCell ref="K48:K53"/>
    <mergeCell ref="L48:T48"/>
    <mergeCell ref="L49:O49"/>
    <mergeCell ref="P49:T49"/>
    <mergeCell ref="L50:O50"/>
    <mergeCell ref="P50:T50"/>
    <mergeCell ref="L51:O51"/>
    <mergeCell ref="P51:T51"/>
    <mergeCell ref="L52:O52"/>
    <mergeCell ref="P52:T52"/>
    <mergeCell ref="L53:O53"/>
    <mergeCell ref="P53:T53"/>
    <mergeCell ref="K42:K47"/>
    <mergeCell ref="L42:T42"/>
    <mergeCell ref="L43:O43"/>
    <mergeCell ref="P43:T43"/>
    <mergeCell ref="L44:O44"/>
    <mergeCell ref="P44:T44"/>
    <mergeCell ref="L45:O45"/>
    <mergeCell ref="P45:T45"/>
    <mergeCell ref="L46:O46"/>
    <mergeCell ref="P46:T46"/>
    <mergeCell ref="L47:O47"/>
    <mergeCell ref="P47:T47"/>
    <mergeCell ref="K36:K41"/>
    <mergeCell ref="L36:T36"/>
    <mergeCell ref="L37:O37"/>
    <mergeCell ref="P37:T37"/>
    <mergeCell ref="L38:O38"/>
    <mergeCell ref="P38:T38"/>
    <mergeCell ref="L39:O39"/>
    <mergeCell ref="P39:T39"/>
    <mergeCell ref="L40:O40"/>
    <mergeCell ref="P40:T40"/>
    <mergeCell ref="L41:O41"/>
    <mergeCell ref="P41:T41"/>
    <mergeCell ref="B17:I17"/>
    <mergeCell ref="B21:I21"/>
    <mergeCell ref="B22:I22"/>
    <mergeCell ref="B23:I23"/>
    <mergeCell ref="B24:I24"/>
    <mergeCell ref="K23:T23"/>
    <mergeCell ref="D12:E12"/>
    <mergeCell ref="K12:T12"/>
    <mergeCell ref="B13:H13"/>
    <mergeCell ref="B14:H14"/>
    <mergeCell ref="B15:I15"/>
    <mergeCell ref="B16:I16"/>
    <mergeCell ref="B2:B12"/>
    <mergeCell ref="C2:H2"/>
    <mergeCell ref="K2:T2"/>
    <mergeCell ref="C3:D3"/>
    <mergeCell ref="K3:T3"/>
    <mergeCell ref="C4:C12"/>
    <mergeCell ref="D4:E4"/>
    <mergeCell ref="G4:H4"/>
    <mergeCell ref="D5:E5"/>
    <mergeCell ref="G5:H5"/>
    <mergeCell ref="D11:E11"/>
    <mergeCell ref="G11:H11"/>
    <mergeCell ref="K11:T11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K10:T10"/>
  </mergeCells>
  <printOptions horizontalCentered="1"/>
  <pageMargins left="0.7" right="0.7" top="0.75" bottom="0.75" header="0.3" footer="0.3"/>
  <pageSetup paperSize="9" scale="65" orientation="landscape" r:id="rId1"/>
  <rowBreaks count="1" manualBreakCount="1">
    <brk id="24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10"/>
  <sheetViews>
    <sheetView workbookViewId="0">
      <selection activeCell="E8" sqref="E8"/>
    </sheetView>
  </sheetViews>
  <sheetFormatPr baseColWidth="10" defaultColWidth="9.1640625" defaultRowHeight="24" customHeight="1" x14ac:dyDescent="0.2"/>
  <cols>
    <col min="1" max="1" width="4" style="17" customWidth="1"/>
    <col min="2" max="2" width="43.33203125" style="17" customWidth="1"/>
    <col min="3" max="3" width="20" style="17" bestFit="1" customWidth="1"/>
    <col min="4" max="4" width="9.1640625" style="17"/>
    <col min="5" max="5" width="10.83203125" style="17" bestFit="1" customWidth="1"/>
    <col min="6" max="6" width="2.5" style="17" customWidth="1"/>
    <col min="7" max="7" width="43.33203125" style="17" customWidth="1"/>
    <col min="8" max="8" width="20" style="17" bestFit="1" customWidth="1"/>
    <col min="9" max="9" width="9.1640625" style="17"/>
    <col min="10" max="10" width="10.83203125" style="17" bestFit="1" customWidth="1"/>
    <col min="11" max="16384" width="9.1640625" style="17"/>
  </cols>
  <sheetData>
    <row r="2" spans="2:10" ht="24" customHeight="1" x14ac:dyDescent="0.2">
      <c r="B2" s="15" t="s">
        <v>341</v>
      </c>
      <c r="C2" s="16" t="s">
        <v>4</v>
      </c>
      <c r="D2" s="16">
        <v>400</v>
      </c>
      <c r="E2" s="16" t="s">
        <v>342</v>
      </c>
      <c r="G2" s="15" t="s">
        <v>343</v>
      </c>
      <c r="H2" s="16" t="s">
        <v>5</v>
      </c>
      <c r="I2" s="16">
        <v>850</v>
      </c>
      <c r="J2" s="16" t="s">
        <v>342</v>
      </c>
    </row>
    <row r="3" spans="2:10" ht="24" customHeight="1" x14ac:dyDescent="0.2">
      <c r="B3" s="15" t="s">
        <v>344</v>
      </c>
      <c r="C3" s="16" t="s">
        <v>7</v>
      </c>
      <c r="D3" s="16">
        <v>150</v>
      </c>
      <c r="E3" s="16" t="s">
        <v>342</v>
      </c>
      <c r="G3" s="15" t="s">
        <v>345</v>
      </c>
      <c r="H3" s="16" t="s">
        <v>8</v>
      </c>
      <c r="I3" s="16">
        <v>200</v>
      </c>
      <c r="J3" s="16" t="s">
        <v>342</v>
      </c>
    </row>
    <row r="4" spans="2:10" ht="24" customHeight="1" x14ac:dyDescent="0.2">
      <c r="B4" s="18"/>
      <c r="C4" s="19"/>
      <c r="D4" s="19"/>
      <c r="E4" s="19"/>
      <c r="G4" s="18"/>
      <c r="H4" s="19"/>
      <c r="I4" s="19"/>
      <c r="J4" s="19"/>
    </row>
    <row r="5" spans="2:10" ht="24" customHeight="1" x14ac:dyDescent="0.2">
      <c r="B5" s="15" t="s">
        <v>346</v>
      </c>
      <c r="C5" s="16">
        <f>(I2-D2)-I5</f>
        <v>400</v>
      </c>
      <c r="G5" s="15" t="s">
        <v>6</v>
      </c>
      <c r="H5" s="20"/>
      <c r="I5" s="16">
        <f>IF(I3&lt;=20,I3,I3-D3)</f>
        <v>50</v>
      </c>
      <c r="J5" s="16"/>
    </row>
    <row r="6" spans="2:10" ht="24" customHeight="1" x14ac:dyDescent="0.2">
      <c r="B6" s="18"/>
      <c r="C6" s="19"/>
      <c r="D6" s="19"/>
      <c r="G6" s="15" t="s">
        <v>14</v>
      </c>
      <c r="H6" s="21">
        <v>0.35</v>
      </c>
      <c r="I6" s="16">
        <f>H6*$C$9</f>
        <v>35</v>
      </c>
      <c r="J6" s="16"/>
    </row>
    <row r="7" spans="2:10" ht="24" customHeight="1" x14ac:dyDescent="0.2">
      <c r="B7" s="15" t="s">
        <v>347</v>
      </c>
      <c r="C7" s="16">
        <v>4</v>
      </c>
      <c r="G7" s="15" t="s">
        <v>16</v>
      </c>
      <c r="H7" s="21">
        <v>0.45</v>
      </c>
      <c r="I7" s="16">
        <f>H7*$C$9</f>
        <v>45</v>
      </c>
      <c r="J7" s="16"/>
    </row>
    <row r="8" spans="2:10" ht="24" customHeight="1" x14ac:dyDescent="0.2">
      <c r="B8" s="18"/>
      <c r="C8" s="19"/>
      <c r="G8" s="15" t="s">
        <v>18</v>
      </c>
      <c r="H8" s="21">
        <v>0.1</v>
      </c>
      <c r="I8" s="16">
        <f>H8*$C$9</f>
        <v>10</v>
      </c>
      <c r="J8" s="16"/>
    </row>
    <row r="9" spans="2:10" ht="24" customHeight="1" x14ac:dyDescent="0.2">
      <c r="B9" s="15" t="s">
        <v>348</v>
      </c>
      <c r="C9" s="16">
        <f>C5/C7</f>
        <v>100</v>
      </c>
      <c r="G9" s="15" t="s">
        <v>20</v>
      </c>
      <c r="H9" s="21">
        <v>0.1</v>
      </c>
      <c r="I9" s="16">
        <f>H9*$C$9</f>
        <v>10</v>
      </c>
      <c r="J9" s="16"/>
    </row>
    <row r="10" spans="2:10" ht="24" customHeight="1" x14ac:dyDescent="0.2">
      <c r="J10" s="19" t="s">
        <v>349</v>
      </c>
    </row>
  </sheetData>
  <dataValidations count="9">
    <dataValidation type="list" allowBlank="1" showInputMessage="1" showErrorMessage="1" sqref="I3" xr:uid="{00000000-0002-0000-0900-000000000000}">
      <formula1>OFFSET(_1A2_pendidikan,MATCH(DikNext,_1A2_pendidikan,0)-1,1,COUNTIF(_1A2_pendidikan,DikNext),1)</formula1>
    </dataValidation>
    <dataValidation type="list" allowBlank="1" showInputMessage="1" showErrorMessage="1" sqref="D3" xr:uid="{00000000-0002-0000-0900-000001000000}">
      <formula1>OFFSET(_1A2_pendidikan,MATCH(DikNow,_1A2_pendidikan,0)-1,1,COUNTIF(_1A2_pendidikan,DikNow),1)</formula1>
    </dataValidation>
    <dataValidation type="list" allowBlank="1" showInputMessage="1" showErrorMessage="1" sqref="I2" xr:uid="{00000000-0002-0000-0900-000002000000}">
      <formula1>OFFSET(_1A1_jabatan,MATCH(JabNext,_1A1_jabatan,0)-1,1,COUNTIF(_1A1_jabatan,JabNext),1)</formula1>
    </dataValidation>
    <dataValidation type="list" allowBlank="1" showInputMessage="1" showErrorMessage="1" sqref="C12" xr:uid="{00000000-0002-0000-0900-000003000000}">
      <formula1>"tbJabatan"</formula1>
    </dataValidation>
    <dataValidation type="list" allowBlank="1" showInputMessage="1" showErrorMessage="1" sqref="D4" xr:uid="{00000000-0002-0000-0900-000004000000}">
      <formula1>INDIRECT(SUBSTITUTE($H$2," ","_"))</formula1>
    </dataValidation>
    <dataValidation type="list" allowBlank="1" showInputMessage="1" showErrorMessage="1" sqref="C4" xr:uid="{00000000-0002-0000-0900-000005000000}">
      <formula1>Jabatan</formula1>
    </dataValidation>
    <dataValidation type="list" allowBlank="1" showInputMessage="1" showErrorMessage="1" sqref="D2" xr:uid="{00000000-0002-0000-0900-000006000000}">
      <formula1>OFFSET(_1A1_jabatan,MATCH(JabNow,_1A1_jabatan,0)-1,1,COUNTIF(_1A1_jabatan,JabNow),1)</formula1>
    </dataValidation>
    <dataValidation type="list" allowBlank="1" showInputMessage="1" showErrorMessage="1" sqref="C2 H2" xr:uid="{00000000-0002-0000-0900-000007000000}">
      <formula1>TabutJabatanIsi</formula1>
    </dataValidation>
    <dataValidation type="list" allowBlank="1" showInputMessage="1" showErrorMessage="1" sqref="C3 H3" xr:uid="{00000000-0002-0000-0900-000008000000}">
      <formula1>TabutPendidikanIsi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 tint="4.9989318521683403E-2"/>
  </sheetPr>
  <dimension ref="B1:X43"/>
  <sheetViews>
    <sheetView workbookViewId="0">
      <selection activeCell="U14" sqref="U14"/>
    </sheetView>
  </sheetViews>
  <sheetFormatPr baseColWidth="10" defaultColWidth="9.1640625" defaultRowHeight="15" x14ac:dyDescent="0.2"/>
  <cols>
    <col min="1" max="1" width="2.33203125" style="217" customWidth="1"/>
    <col min="2" max="2" width="7.6640625" style="217" customWidth="1"/>
    <col min="3" max="3" width="51.5" style="218" customWidth="1"/>
    <col min="4" max="4" width="9.5" style="218" customWidth="1"/>
    <col min="5" max="5" width="5.83203125" style="217" customWidth="1"/>
    <col min="6" max="6" width="6.33203125" style="217" customWidth="1"/>
    <col min="7" max="7" width="6" style="217" customWidth="1"/>
    <col min="8" max="8" width="6.5" style="217" customWidth="1"/>
    <col min="9" max="9" width="5.83203125" style="217" customWidth="1"/>
    <col min="10" max="10" width="6.33203125" style="217" customWidth="1"/>
    <col min="11" max="11" width="6" style="217" customWidth="1"/>
    <col min="12" max="12" width="6.5" style="217" customWidth="1"/>
    <col min="13" max="13" width="6.83203125" style="217" customWidth="1"/>
    <col min="14" max="14" width="7.33203125" style="217" customWidth="1"/>
    <col min="15" max="15" width="7" style="217" customWidth="1"/>
    <col min="16" max="16" width="7.5" style="217" customWidth="1"/>
    <col min="17" max="20" width="6.6640625" style="217" customWidth="1"/>
    <col min="21" max="16384" width="9.1640625" style="217"/>
  </cols>
  <sheetData>
    <row r="1" spans="2:24" x14ac:dyDescent="0.2">
      <c r="B1" s="547" t="s">
        <v>530</v>
      </c>
      <c r="C1" s="547" t="s">
        <v>560</v>
      </c>
      <c r="D1" s="547" t="s">
        <v>589</v>
      </c>
      <c r="E1" s="550" t="s">
        <v>361</v>
      </c>
      <c r="F1" s="550"/>
      <c r="G1" s="550"/>
      <c r="H1" s="550"/>
      <c r="I1" s="550" t="s">
        <v>362</v>
      </c>
      <c r="J1" s="550"/>
      <c r="K1" s="550"/>
      <c r="L1" s="550"/>
      <c r="M1" s="550" t="s">
        <v>483</v>
      </c>
      <c r="N1" s="550"/>
      <c r="O1" s="550"/>
      <c r="P1" s="550"/>
      <c r="Q1" s="550" t="s">
        <v>732</v>
      </c>
      <c r="R1" s="550"/>
      <c r="S1" s="550"/>
      <c r="T1" s="550"/>
      <c r="U1" s="547" t="s">
        <v>634</v>
      </c>
      <c r="V1" s="547" t="s">
        <v>589</v>
      </c>
      <c r="W1" s="547" t="s">
        <v>638</v>
      </c>
      <c r="X1" s="547" t="s">
        <v>588</v>
      </c>
    </row>
    <row r="2" spans="2:24" x14ac:dyDescent="0.2">
      <c r="B2" s="548"/>
      <c r="C2" s="548"/>
      <c r="D2" s="548"/>
      <c r="E2" s="550" t="s">
        <v>401</v>
      </c>
      <c r="F2" s="550"/>
      <c r="G2" s="550" t="s">
        <v>402</v>
      </c>
      <c r="H2" s="550"/>
      <c r="I2" s="550" t="s">
        <v>401</v>
      </c>
      <c r="J2" s="550"/>
      <c r="K2" s="550" t="s">
        <v>402</v>
      </c>
      <c r="L2" s="550"/>
      <c r="M2" s="550" t="s">
        <v>401</v>
      </c>
      <c r="N2" s="550"/>
      <c r="O2" s="550" t="s">
        <v>402</v>
      </c>
      <c r="P2" s="550"/>
      <c r="Q2" s="550" t="s">
        <v>401</v>
      </c>
      <c r="R2" s="550"/>
      <c r="S2" s="550" t="s">
        <v>402</v>
      </c>
      <c r="T2" s="550"/>
      <c r="U2" s="548"/>
      <c r="V2" s="548"/>
      <c r="W2" s="548"/>
      <c r="X2" s="548"/>
    </row>
    <row r="3" spans="2:24" x14ac:dyDescent="0.2">
      <c r="B3" s="549"/>
      <c r="C3" s="549"/>
      <c r="D3" s="549"/>
      <c r="E3" s="227" t="s">
        <v>563</v>
      </c>
      <c r="F3" s="227" t="s">
        <v>561</v>
      </c>
      <c r="G3" s="227" t="s">
        <v>563</v>
      </c>
      <c r="H3" s="227" t="s">
        <v>561</v>
      </c>
      <c r="I3" s="227" t="s">
        <v>563</v>
      </c>
      <c r="J3" s="227" t="s">
        <v>561</v>
      </c>
      <c r="K3" s="227" t="s">
        <v>563</v>
      </c>
      <c r="L3" s="227" t="s">
        <v>561</v>
      </c>
      <c r="M3" s="227" t="s">
        <v>563</v>
      </c>
      <c r="N3" s="227" t="s">
        <v>561</v>
      </c>
      <c r="O3" s="227" t="s">
        <v>563</v>
      </c>
      <c r="P3" s="227" t="s">
        <v>561</v>
      </c>
      <c r="Q3" s="253" t="s">
        <v>563</v>
      </c>
      <c r="R3" s="253" t="s">
        <v>561</v>
      </c>
      <c r="S3" s="253" t="s">
        <v>563</v>
      </c>
      <c r="T3" s="253" t="s">
        <v>561</v>
      </c>
      <c r="U3" s="549"/>
      <c r="V3" s="549"/>
      <c r="W3" s="549"/>
      <c r="X3" s="549"/>
    </row>
    <row r="4" spans="2:24" x14ac:dyDescent="0.2">
      <c r="B4" s="217" t="s">
        <v>530</v>
      </c>
      <c r="C4" s="218" t="s">
        <v>560</v>
      </c>
      <c r="D4" s="218" t="s">
        <v>589</v>
      </c>
      <c r="E4" s="217" t="s">
        <v>550</v>
      </c>
      <c r="F4" s="217" t="s">
        <v>552</v>
      </c>
      <c r="G4" s="217" t="s">
        <v>554</v>
      </c>
      <c r="H4" s="217" t="s">
        <v>556</v>
      </c>
      <c r="I4" s="217" t="s">
        <v>551</v>
      </c>
      <c r="J4" s="217" t="s">
        <v>553</v>
      </c>
      <c r="K4" s="217" t="s">
        <v>555</v>
      </c>
      <c r="L4" s="217" t="s">
        <v>557</v>
      </c>
      <c r="M4" s="217" t="s">
        <v>567</v>
      </c>
      <c r="N4" s="217" t="s">
        <v>568</v>
      </c>
      <c r="O4" s="217" t="s">
        <v>569</v>
      </c>
      <c r="P4" s="217" t="s">
        <v>570</v>
      </c>
      <c r="Q4" s="217" t="s">
        <v>733</v>
      </c>
      <c r="R4" s="217" t="s">
        <v>734</v>
      </c>
      <c r="S4" s="217" t="s">
        <v>735</v>
      </c>
      <c r="T4" s="217" t="s">
        <v>736</v>
      </c>
      <c r="U4" s="217" t="s">
        <v>634</v>
      </c>
      <c r="V4" s="217" t="s">
        <v>635</v>
      </c>
      <c r="W4" s="217" t="s">
        <v>638</v>
      </c>
      <c r="X4" s="217" t="s">
        <v>588</v>
      </c>
    </row>
    <row r="5" spans="2:24" x14ac:dyDescent="0.2">
      <c r="B5" s="219" t="s">
        <v>72</v>
      </c>
      <c r="C5" s="220" t="s">
        <v>558</v>
      </c>
      <c r="D5" s="220" t="s">
        <v>590</v>
      </c>
      <c r="E5" s="221">
        <f>__2A1TJ</f>
        <v>12</v>
      </c>
      <c r="F5" s="221">
        <f>__2A1TK</f>
        <v>5.5</v>
      </c>
      <c r="G5" s="221">
        <f>__2A1CJ</f>
        <v>12</v>
      </c>
      <c r="H5" s="221">
        <f>__2A1CK</f>
        <v>5.5</v>
      </c>
      <c r="I5" s="221">
        <f>__2A2TJ</f>
        <v>15</v>
      </c>
      <c r="J5" s="221">
        <f>__2A2TK</f>
        <v>5.5</v>
      </c>
      <c r="K5" s="221">
        <f>__2A2CJ</f>
        <v>15</v>
      </c>
      <c r="L5" s="221">
        <f>__2A2CK</f>
        <v>5.5</v>
      </c>
      <c r="M5" s="221">
        <v>0</v>
      </c>
      <c r="N5" s="221">
        <v>0</v>
      </c>
      <c r="O5" s="221">
        <v>0</v>
      </c>
      <c r="P5" s="222">
        <v>0</v>
      </c>
      <c r="Q5" s="268">
        <f>Tabur[[#This Row],[1TJ]]+Tabur[[#This Row],[2TJ]]+Tabur[[#This Row],[12TJ]]</f>
        <v>27</v>
      </c>
      <c r="R5" s="268">
        <f>Tabur[[#This Row],[1TK]]+Tabur[[#This Row],[2TK]]+Tabur[[#This Row],[12TK]]</f>
        <v>11</v>
      </c>
      <c r="S5" s="268">
        <f>Tabur[[#This Row],[1CJ]]+Tabur[[#This Row],[2CJ]]+Tabur[[#This Row],[12CJ]]</f>
        <v>27</v>
      </c>
      <c r="T5" s="268">
        <f>Tabur[[#This Row],[1CK]]+Tabur[[#This Row],[2CK]]+Tabur[[#This Row],[12CK]]</f>
        <v>11</v>
      </c>
      <c r="U5" s="217">
        <f>IF(OR(AND(Tabur[[#This Row],[1TJ]]&gt;0,Tabur[[#This Row],[2TJ]]&gt;0),Tabur[[#This Row],[12TJ]]&gt;0),12,IF(OR(Tabur[[#This Row],[1TJ]]&gt;0,Tabur[[#This Row],[2TJ]]&gt;0),6,0))</f>
        <v>12</v>
      </c>
      <c r="V5" s="217" t="s">
        <v>636</v>
      </c>
      <c r="W5" s="217">
        <v>100</v>
      </c>
      <c r="X5" s="223" t="s">
        <v>637</v>
      </c>
    </row>
    <row r="6" spans="2:24" x14ac:dyDescent="0.2">
      <c r="B6" s="219" t="s">
        <v>78</v>
      </c>
      <c r="C6" s="220" t="s">
        <v>24</v>
      </c>
      <c r="D6" s="220" t="s">
        <v>211</v>
      </c>
      <c r="E6" s="221">
        <f>__2B1TJ</f>
        <v>0</v>
      </c>
      <c r="F6" s="221">
        <f>__2B1TK</f>
        <v>0</v>
      </c>
      <c r="G6" s="221">
        <f>__2B1CJ</f>
        <v>0</v>
      </c>
      <c r="H6" s="221">
        <f>__2B1CK</f>
        <v>0</v>
      </c>
      <c r="I6" s="221">
        <f>__2B2TJ</f>
        <v>0</v>
      </c>
      <c r="J6" s="221">
        <f>__2B2TK</f>
        <v>0</v>
      </c>
      <c r="K6" s="221">
        <f>__2B2CJ</f>
        <v>0</v>
      </c>
      <c r="L6" s="221">
        <f>__2B2CK</f>
        <v>0</v>
      </c>
      <c r="M6" s="221">
        <v>0</v>
      </c>
      <c r="N6" s="221">
        <v>0</v>
      </c>
      <c r="O6" s="221">
        <v>0</v>
      </c>
      <c r="P6" s="222">
        <v>0</v>
      </c>
      <c r="Q6" s="268">
        <f>Tabur[[#This Row],[1TJ]]+Tabur[[#This Row],[2TJ]]+Tabur[[#This Row],[12TJ]]</f>
        <v>0</v>
      </c>
      <c r="R6" s="268">
        <f>Tabur[[#This Row],[1TK]]+Tabur[[#This Row],[2TK]]+Tabur[[#This Row],[12TK]]</f>
        <v>0</v>
      </c>
      <c r="S6" s="268">
        <f>Tabur[[#This Row],[1CJ]]+Tabur[[#This Row],[2CJ]]+Tabur[[#This Row],[12CJ]]</f>
        <v>0</v>
      </c>
      <c r="T6" s="268">
        <f>Tabur[[#This Row],[1CK]]+Tabur[[#This Row],[2CK]]+Tabur[[#This Row],[12CK]]</f>
        <v>0</v>
      </c>
      <c r="U6" s="217">
        <f>IF(OR(AND(Tabur[[#This Row],[1TJ]]&gt;0,Tabur[[#This Row],[2TJ]]&gt;0),Tabur[[#This Row],[12TJ]]&gt;0),12,IF(OR(Tabur[[#This Row],[1TJ]]&gt;0,Tabur[[#This Row],[2TJ]]&gt;0),6,0))</f>
        <v>0</v>
      </c>
      <c r="V6" s="217" t="s">
        <v>636</v>
      </c>
      <c r="W6" s="217">
        <v>100</v>
      </c>
      <c r="X6" s="223" t="s">
        <v>637</v>
      </c>
    </row>
    <row r="7" spans="2:24" x14ac:dyDescent="0.2">
      <c r="B7" s="219" t="s">
        <v>80</v>
      </c>
      <c r="C7" s="220" t="s">
        <v>26</v>
      </c>
      <c r="D7" s="220" t="s">
        <v>591</v>
      </c>
      <c r="E7" s="221">
        <f>__2C1TJ</f>
        <v>4</v>
      </c>
      <c r="F7" s="221">
        <f>__2C1TK</f>
        <v>1</v>
      </c>
      <c r="G7" s="221">
        <f>__2C1CJ</f>
        <v>4</v>
      </c>
      <c r="H7" s="221">
        <f>__2C1CK</f>
        <v>1</v>
      </c>
      <c r="I7" s="221">
        <f>__2C2TJ</f>
        <v>0</v>
      </c>
      <c r="J7" s="221">
        <f>__2C2TK</f>
        <v>0</v>
      </c>
      <c r="K7" s="221">
        <f>__2C2CJ</f>
        <v>0</v>
      </c>
      <c r="L7" s="221">
        <f>__2C2CK</f>
        <v>0</v>
      </c>
      <c r="M7" s="221">
        <v>0</v>
      </c>
      <c r="N7" s="221">
        <v>0</v>
      </c>
      <c r="O7" s="221">
        <v>0</v>
      </c>
      <c r="P7" s="222">
        <v>0</v>
      </c>
      <c r="Q7" s="268">
        <f>Tabur[[#This Row],[1TJ]]+Tabur[[#This Row],[2TJ]]+Tabur[[#This Row],[12TJ]]</f>
        <v>4</v>
      </c>
      <c r="R7" s="268">
        <f>Tabur[[#This Row],[1TK]]+Tabur[[#This Row],[2TK]]+Tabur[[#This Row],[12TK]]</f>
        <v>1</v>
      </c>
      <c r="S7" s="268">
        <f>Tabur[[#This Row],[1CJ]]+Tabur[[#This Row],[2CJ]]+Tabur[[#This Row],[12CJ]]</f>
        <v>4</v>
      </c>
      <c r="T7" s="268">
        <f>Tabur[[#This Row],[1CK]]+Tabur[[#This Row],[2CK]]+Tabur[[#This Row],[12CK]]</f>
        <v>1</v>
      </c>
      <c r="U7" s="217">
        <f>IF(OR(AND(Tabur[[#This Row],[1TJ]]&gt;0,Tabur[[#This Row],[2TJ]]&gt;0),Tabur[[#This Row],[12TJ]]&gt;0),12,IF(OR(Tabur[[#This Row],[1TJ]]&gt;0,Tabur[[#This Row],[2TJ]]&gt;0),6,0))</f>
        <v>6</v>
      </c>
      <c r="V7" s="217" t="s">
        <v>636</v>
      </c>
      <c r="W7" s="217">
        <v>100</v>
      </c>
      <c r="X7" s="223" t="s">
        <v>637</v>
      </c>
    </row>
    <row r="8" spans="2:24" x14ac:dyDescent="0.2">
      <c r="B8" s="219" t="s">
        <v>81</v>
      </c>
      <c r="C8" s="220" t="s">
        <v>562</v>
      </c>
      <c r="D8" s="220" t="s">
        <v>591</v>
      </c>
      <c r="E8" s="221">
        <f>__2D1TJ</f>
        <v>1</v>
      </c>
      <c r="F8" s="221">
        <f>__2D1TK</f>
        <v>0.5</v>
      </c>
      <c r="G8" s="221">
        <f>__2D1CJ</f>
        <v>1</v>
      </c>
      <c r="H8" s="221">
        <f>__2D1CK</f>
        <v>0.5</v>
      </c>
      <c r="I8" s="221">
        <f>__2D2TJ</f>
        <v>2</v>
      </c>
      <c r="J8" s="221">
        <f>__2D2TK</f>
        <v>1.5</v>
      </c>
      <c r="K8" s="221">
        <f>__2D2CJ</f>
        <v>2</v>
      </c>
      <c r="L8" s="221">
        <f>__2D2CK</f>
        <v>1.5</v>
      </c>
      <c r="M8" s="221">
        <v>0</v>
      </c>
      <c r="N8" s="221">
        <v>0</v>
      </c>
      <c r="O8" s="221">
        <v>0</v>
      </c>
      <c r="P8" s="222">
        <v>0</v>
      </c>
      <c r="Q8" s="268">
        <f>Tabur[[#This Row],[1TJ]]+Tabur[[#This Row],[2TJ]]+Tabur[[#This Row],[12TJ]]</f>
        <v>3</v>
      </c>
      <c r="R8" s="268">
        <f>Tabur[[#This Row],[1TK]]+Tabur[[#This Row],[2TK]]+Tabur[[#This Row],[12TK]]</f>
        <v>2</v>
      </c>
      <c r="S8" s="268">
        <f>Tabur[[#This Row],[1CJ]]+Tabur[[#This Row],[2CJ]]+Tabur[[#This Row],[12CJ]]</f>
        <v>3</v>
      </c>
      <c r="T8" s="268">
        <f>Tabur[[#This Row],[1CK]]+Tabur[[#This Row],[2CK]]+Tabur[[#This Row],[12CK]]</f>
        <v>2</v>
      </c>
      <c r="U8" s="217">
        <f>IF(OR(AND(Tabur[[#This Row],[1TJ]]&gt;0,Tabur[[#This Row],[2TJ]]&gt;0),Tabur[[#This Row],[12TJ]]&gt;0),12,IF(OR(Tabur[[#This Row],[1TJ]]&gt;0,Tabur[[#This Row],[2TJ]]&gt;0),6,0))</f>
        <v>12</v>
      </c>
      <c r="V8" s="217" t="s">
        <v>636</v>
      </c>
      <c r="W8" s="217">
        <v>100</v>
      </c>
      <c r="X8" s="223" t="s">
        <v>637</v>
      </c>
    </row>
    <row r="9" spans="2:24" x14ac:dyDescent="0.2">
      <c r="B9" s="219" t="s">
        <v>84</v>
      </c>
      <c r="C9" s="220" t="s">
        <v>30</v>
      </c>
      <c r="D9" s="220" t="s">
        <v>592</v>
      </c>
      <c r="E9" s="221">
        <f>__2E1TJ</f>
        <v>2</v>
      </c>
      <c r="F9" s="221">
        <f>__2E1TK</f>
        <v>2</v>
      </c>
      <c r="G9" s="221">
        <f>__2E1CJ</f>
        <v>2</v>
      </c>
      <c r="H9" s="221">
        <f>__2E1CK</f>
        <v>2</v>
      </c>
      <c r="I9" s="221">
        <f>__2E2TJ</f>
        <v>0</v>
      </c>
      <c r="J9" s="221">
        <f>__2E2TK</f>
        <v>0</v>
      </c>
      <c r="K9" s="221">
        <f>__2E2CJ</f>
        <v>0</v>
      </c>
      <c r="L9" s="221">
        <f>__2E2CK</f>
        <v>0</v>
      </c>
      <c r="M9" s="221">
        <v>0</v>
      </c>
      <c r="N9" s="221">
        <v>0</v>
      </c>
      <c r="O9" s="221">
        <v>0</v>
      </c>
      <c r="P9" s="222">
        <v>0</v>
      </c>
      <c r="Q9" s="268">
        <f>Tabur[[#This Row],[1TJ]]+Tabur[[#This Row],[2TJ]]+Tabur[[#This Row],[12TJ]]</f>
        <v>2</v>
      </c>
      <c r="R9" s="268">
        <f>Tabur[[#This Row],[1TK]]+Tabur[[#This Row],[2TK]]+Tabur[[#This Row],[12TK]]</f>
        <v>2</v>
      </c>
      <c r="S9" s="268">
        <f>Tabur[[#This Row],[1CJ]]+Tabur[[#This Row],[2CJ]]+Tabur[[#This Row],[12CJ]]</f>
        <v>2</v>
      </c>
      <c r="T9" s="268">
        <f>Tabur[[#This Row],[1CK]]+Tabur[[#This Row],[2CK]]+Tabur[[#This Row],[12CK]]</f>
        <v>2</v>
      </c>
      <c r="U9" s="217">
        <f>IF(OR(AND(Tabur[[#This Row],[1TJ]]&gt;0,Tabur[[#This Row],[2TJ]]&gt;0),Tabur[[#This Row],[12TJ]]&gt;0),12,IF(OR(Tabur[[#This Row],[1TJ]]&gt;0,Tabur[[#This Row],[2TJ]]&gt;0),6,0))</f>
        <v>6</v>
      </c>
      <c r="V9" s="217" t="s">
        <v>636</v>
      </c>
      <c r="W9" s="217">
        <v>100</v>
      </c>
      <c r="X9" s="223" t="s">
        <v>637</v>
      </c>
    </row>
    <row r="10" spans="2:24" x14ac:dyDescent="0.2">
      <c r="B10" s="219" t="s">
        <v>87</v>
      </c>
      <c r="C10" s="220" t="s">
        <v>559</v>
      </c>
      <c r="D10" s="220" t="s">
        <v>591</v>
      </c>
      <c r="E10" s="221">
        <f>__2F1TJ</f>
        <v>0</v>
      </c>
      <c r="F10" s="221">
        <f>__2F1TK</f>
        <v>0</v>
      </c>
      <c r="G10" s="221">
        <f>__2F1CJ</f>
        <v>0</v>
      </c>
      <c r="H10" s="221">
        <f>__2F1CK</f>
        <v>0</v>
      </c>
      <c r="I10" s="221">
        <f>__2F2TJ</f>
        <v>0</v>
      </c>
      <c r="J10" s="221">
        <f>__2F2TK</f>
        <v>0</v>
      </c>
      <c r="K10" s="221">
        <f>__2F2CJ</f>
        <v>0</v>
      </c>
      <c r="L10" s="221">
        <f>__2F2CK</f>
        <v>0</v>
      </c>
      <c r="M10" s="221">
        <v>0</v>
      </c>
      <c r="N10" s="221">
        <v>0</v>
      </c>
      <c r="O10" s="221">
        <v>0</v>
      </c>
      <c r="P10" s="222">
        <v>0</v>
      </c>
      <c r="Q10" s="268">
        <f>Tabur[[#This Row],[1TJ]]+Tabur[[#This Row],[2TJ]]+Tabur[[#This Row],[12TJ]]</f>
        <v>0</v>
      </c>
      <c r="R10" s="268">
        <f>Tabur[[#This Row],[1TK]]+Tabur[[#This Row],[2TK]]+Tabur[[#This Row],[12TK]]</f>
        <v>0</v>
      </c>
      <c r="S10" s="268">
        <f>Tabur[[#This Row],[1CJ]]+Tabur[[#This Row],[2CJ]]+Tabur[[#This Row],[12CJ]]</f>
        <v>0</v>
      </c>
      <c r="T10" s="268">
        <f>Tabur[[#This Row],[1CK]]+Tabur[[#This Row],[2CK]]+Tabur[[#This Row],[12CK]]</f>
        <v>0</v>
      </c>
      <c r="U10" s="217">
        <f>IF(OR(AND(Tabur[[#This Row],[1TJ]]&gt;0,Tabur[[#This Row],[2TJ]]&gt;0),Tabur[[#This Row],[12TJ]]&gt;0),12,IF(OR(Tabur[[#This Row],[1TJ]]&gt;0,Tabur[[#This Row],[2TJ]]&gt;0),6,0))</f>
        <v>0</v>
      </c>
      <c r="V10" s="217" t="s">
        <v>636</v>
      </c>
      <c r="W10" s="217">
        <v>100</v>
      </c>
      <c r="X10" s="223" t="s">
        <v>637</v>
      </c>
    </row>
    <row r="11" spans="2:24" x14ac:dyDescent="0.2">
      <c r="B11" s="219" t="s">
        <v>88</v>
      </c>
      <c r="C11" s="220" t="s">
        <v>34</v>
      </c>
      <c r="D11" s="220" t="s">
        <v>593</v>
      </c>
      <c r="E11" s="221">
        <f>__2G1TJ</f>
        <v>0</v>
      </c>
      <c r="F11" s="221">
        <f>__2G1TK</f>
        <v>0</v>
      </c>
      <c r="G11" s="221">
        <f>__2G1CJ</f>
        <v>0</v>
      </c>
      <c r="H11" s="221">
        <f>__2G1CK</f>
        <v>0</v>
      </c>
      <c r="I11" s="221">
        <f>__2G2TJ</f>
        <v>0</v>
      </c>
      <c r="J11" s="221">
        <f>__2G2TK</f>
        <v>0</v>
      </c>
      <c r="K11" s="221">
        <f>__2G2CJ</f>
        <v>0</v>
      </c>
      <c r="L11" s="221">
        <f>__2G2CK</f>
        <v>0</v>
      </c>
      <c r="M11" s="221">
        <v>0</v>
      </c>
      <c r="N11" s="221">
        <v>0</v>
      </c>
      <c r="O11" s="221">
        <v>0</v>
      </c>
      <c r="P11" s="222">
        <v>0</v>
      </c>
      <c r="Q11" s="268">
        <f>Tabur[[#This Row],[1TJ]]+Tabur[[#This Row],[2TJ]]+Tabur[[#This Row],[12TJ]]</f>
        <v>0</v>
      </c>
      <c r="R11" s="268">
        <f>Tabur[[#This Row],[1TK]]+Tabur[[#This Row],[2TK]]+Tabur[[#This Row],[12TK]]</f>
        <v>0</v>
      </c>
      <c r="S11" s="268">
        <f>Tabur[[#This Row],[1CJ]]+Tabur[[#This Row],[2CJ]]+Tabur[[#This Row],[12CJ]]</f>
        <v>0</v>
      </c>
      <c r="T11" s="268">
        <f>Tabur[[#This Row],[1CK]]+Tabur[[#This Row],[2CK]]+Tabur[[#This Row],[12CK]]</f>
        <v>0</v>
      </c>
      <c r="U11" s="217">
        <f>IF(OR(AND(Tabur[[#This Row],[1TJ]]&gt;0,Tabur[[#This Row],[2TJ]]&gt;0),Tabur[[#This Row],[12TJ]]&gt;0),12,IF(OR(Tabur[[#This Row],[1TJ]]&gt;0,Tabur[[#This Row],[2TJ]]&gt;0),6,0))</f>
        <v>0</v>
      </c>
      <c r="V11" s="217" t="s">
        <v>636</v>
      </c>
      <c r="W11" s="217">
        <v>100</v>
      </c>
      <c r="X11" s="223" t="s">
        <v>637</v>
      </c>
    </row>
    <row r="12" spans="2:24" x14ac:dyDescent="0.2">
      <c r="B12" s="219" t="s">
        <v>89</v>
      </c>
      <c r="C12" s="220" t="s">
        <v>36</v>
      </c>
      <c r="D12" s="220" t="s">
        <v>594</v>
      </c>
      <c r="E12" s="221">
        <f>__2H1TJ</f>
        <v>0</v>
      </c>
      <c r="F12" s="221">
        <f>__2H1TK</f>
        <v>0</v>
      </c>
      <c r="G12" s="221">
        <f>__2H1CJ</f>
        <v>0</v>
      </c>
      <c r="H12" s="221">
        <f>__2H1CK</f>
        <v>0</v>
      </c>
      <c r="I12" s="221">
        <f>__2H2TJ</f>
        <v>0</v>
      </c>
      <c r="J12" s="221">
        <f>__2H2TK</f>
        <v>0</v>
      </c>
      <c r="K12" s="221">
        <f>__2H2CJ</f>
        <v>0</v>
      </c>
      <c r="L12" s="221">
        <f>__2H2CK</f>
        <v>0</v>
      </c>
      <c r="M12" s="295">
        <f>__2H12TJ</f>
        <v>0</v>
      </c>
      <c r="N12" s="295">
        <f>__2H12TK</f>
        <v>0</v>
      </c>
      <c r="O12" s="295">
        <f>__2H12CJ</f>
        <v>0</v>
      </c>
      <c r="P12" s="296">
        <f>__2H12CK</f>
        <v>0</v>
      </c>
      <c r="Q12" s="268">
        <f>Tabur[[#This Row],[1TJ]]+Tabur[[#This Row],[2TJ]]+Tabur[[#This Row],[12TJ]]</f>
        <v>0</v>
      </c>
      <c r="R12" s="268">
        <f>Tabur[[#This Row],[1TK]]+Tabur[[#This Row],[2TK]]+Tabur[[#This Row],[12TK]]</f>
        <v>0</v>
      </c>
      <c r="S12" s="268">
        <f>Tabur[[#This Row],[1CJ]]+Tabur[[#This Row],[2CJ]]+Tabur[[#This Row],[12CJ]]</f>
        <v>0</v>
      </c>
      <c r="T12" s="268">
        <f>Tabur[[#This Row],[1CK]]+Tabur[[#This Row],[2CK]]+Tabur[[#This Row],[12CK]]</f>
        <v>0</v>
      </c>
      <c r="U12" s="217">
        <f>IF(OR(AND(Tabur[[#This Row],[1TJ]]&gt;0,Tabur[[#This Row],[2TJ]]&gt;0),Tabur[[#This Row],[12TJ]]&gt;0),12,IF(OR(Tabur[[#This Row],[1TJ]]&gt;0,Tabur[[#This Row],[2TJ]]&gt;0),6,0))</f>
        <v>0</v>
      </c>
      <c r="V12" s="217" t="s">
        <v>636</v>
      </c>
      <c r="W12" s="217">
        <v>100</v>
      </c>
      <c r="X12" s="223" t="s">
        <v>637</v>
      </c>
    </row>
    <row r="13" spans="2:24" x14ac:dyDescent="0.2">
      <c r="B13" s="219" t="s">
        <v>92</v>
      </c>
      <c r="C13" s="220" t="s">
        <v>38</v>
      </c>
      <c r="D13" s="220" t="s">
        <v>595</v>
      </c>
      <c r="E13" s="221">
        <f>__2I1TJ</f>
        <v>0</v>
      </c>
      <c r="F13" s="221">
        <f>__2I1TK</f>
        <v>0</v>
      </c>
      <c r="G13" s="221">
        <f>__2I1CJ</f>
        <v>0</v>
      </c>
      <c r="H13" s="221">
        <f>__2I1CK</f>
        <v>0</v>
      </c>
      <c r="I13" s="221">
        <f>__2I2TJ</f>
        <v>0</v>
      </c>
      <c r="J13" s="221">
        <f>__2I2TK</f>
        <v>0</v>
      </c>
      <c r="K13" s="221">
        <f>__2I2CJ</f>
        <v>0</v>
      </c>
      <c r="L13" s="221">
        <f>__2I2CK</f>
        <v>0</v>
      </c>
      <c r="M13" s="221">
        <v>0</v>
      </c>
      <c r="N13" s="221">
        <v>0</v>
      </c>
      <c r="O13" s="221">
        <v>0</v>
      </c>
      <c r="P13" s="222">
        <v>0</v>
      </c>
      <c r="Q13" s="268">
        <f>Tabur[[#This Row],[1TJ]]+Tabur[[#This Row],[2TJ]]+Tabur[[#This Row],[12TJ]]</f>
        <v>0</v>
      </c>
      <c r="R13" s="268">
        <f>Tabur[[#This Row],[1TK]]+Tabur[[#This Row],[2TK]]+Tabur[[#This Row],[12TK]]</f>
        <v>0</v>
      </c>
      <c r="S13" s="268">
        <f>Tabur[[#This Row],[1CJ]]+Tabur[[#This Row],[2CJ]]+Tabur[[#This Row],[12CJ]]</f>
        <v>0</v>
      </c>
      <c r="T13" s="268">
        <f>Tabur[[#This Row],[1CK]]+Tabur[[#This Row],[2CK]]+Tabur[[#This Row],[12CK]]</f>
        <v>0</v>
      </c>
      <c r="U13" s="217">
        <f>IF(OR(AND(Tabur[[#This Row],[1TJ]]&gt;0,Tabur[[#This Row],[2TJ]]&gt;0),Tabur[[#This Row],[12TJ]]&gt;0),12,IF(OR(Tabur[[#This Row],[1TJ]]&gt;0,Tabur[[#This Row],[2TJ]]&gt;0),6,0))</f>
        <v>0</v>
      </c>
      <c r="V13" s="217" t="s">
        <v>636</v>
      </c>
      <c r="W13" s="217">
        <v>100</v>
      </c>
      <c r="X13" s="223" t="s">
        <v>637</v>
      </c>
    </row>
    <row r="14" spans="2:24" x14ac:dyDescent="0.2">
      <c r="B14" s="219" t="s">
        <v>93</v>
      </c>
      <c r="C14" s="220" t="s">
        <v>40</v>
      </c>
      <c r="D14" s="220" t="s">
        <v>596</v>
      </c>
      <c r="E14" s="221">
        <f>__2J1TJ</f>
        <v>0</v>
      </c>
      <c r="F14" s="221">
        <f>__2J1TK</f>
        <v>0</v>
      </c>
      <c r="G14" s="221">
        <f>__2J1CJ</f>
        <v>0</v>
      </c>
      <c r="H14" s="221">
        <f>__2J1CK</f>
        <v>0</v>
      </c>
      <c r="I14" s="221">
        <f>__2J2TJ</f>
        <v>0</v>
      </c>
      <c r="J14" s="221">
        <f>__2J2TK</f>
        <v>0</v>
      </c>
      <c r="K14" s="221">
        <f>__2J2CJ</f>
        <v>0</v>
      </c>
      <c r="L14" s="221">
        <f>__2J2CK</f>
        <v>0</v>
      </c>
      <c r="M14" s="221">
        <v>0</v>
      </c>
      <c r="N14" s="221">
        <v>0</v>
      </c>
      <c r="O14" s="221">
        <v>0</v>
      </c>
      <c r="P14" s="222">
        <v>0</v>
      </c>
      <c r="Q14" s="268">
        <f>Tabur[[#This Row],[1TJ]]+Tabur[[#This Row],[2TJ]]+Tabur[[#This Row],[12TJ]]</f>
        <v>0</v>
      </c>
      <c r="R14" s="268">
        <f>Tabur[[#This Row],[1TK]]+Tabur[[#This Row],[2TK]]+Tabur[[#This Row],[12TK]]</f>
        <v>0</v>
      </c>
      <c r="S14" s="268">
        <f>Tabur[[#This Row],[1CJ]]+Tabur[[#This Row],[2CJ]]+Tabur[[#This Row],[12CJ]]</f>
        <v>0</v>
      </c>
      <c r="T14" s="268">
        <f>Tabur[[#This Row],[1CK]]+Tabur[[#This Row],[2CK]]+Tabur[[#This Row],[12CK]]</f>
        <v>0</v>
      </c>
      <c r="U14" s="217">
        <f>IF(OR(AND(Tabur[[#This Row],[1TJ]]&gt;0,Tabur[[#This Row],[2TJ]]&gt;0),Tabur[[#This Row],[12TJ]]&gt;0),12,IF(OR(Tabur[[#This Row],[1TJ]]&gt;0,Tabur[[#This Row],[2TJ]]&gt;0),6,0))</f>
        <v>0</v>
      </c>
      <c r="V14" s="217" t="s">
        <v>636</v>
      </c>
      <c r="W14" s="217">
        <v>100</v>
      </c>
      <c r="X14" s="223" t="s">
        <v>637</v>
      </c>
    </row>
    <row r="15" spans="2:24" x14ac:dyDescent="0.2">
      <c r="B15" s="219" t="s">
        <v>107</v>
      </c>
      <c r="C15" s="220" t="s">
        <v>42</v>
      </c>
      <c r="D15" s="220" t="s">
        <v>597</v>
      </c>
      <c r="E15" s="221">
        <f>__2K1TJ</f>
        <v>0</v>
      </c>
      <c r="F15" s="221">
        <f>__2K1TK</f>
        <v>0</v>
      </c>
      <c r="G15" s="221">
        <f>__2K1CJ</f>
        <v>0</v>
      </c>
      <c r="H15" s="221">
        <f>__2K1CK</f>
        <v>0</v>
      </c>
      <c r="I15" s="221">
        <f>__2K2TJ</f>
        <v>0</v>
      </c>
      <c r="J15" s="221">
        <f>__2K2TK</f>
        <v>0</v>
      </c>
      <c r="K15" s="221">
        <f>__2K2CJ</f>
        <v>0</v>
      </c>
      <c r="L15" s="221">
        <f>__2K2CK</f>
        <v>0</v>
      </c>
      <c r="M15" s="221">
        <v>0</v>
      </c>
      <c r="N15" s="221">
        <v>0</v>
      </c>
      <c r="O15" s="221">
        <v>0</v>
      </c>
      <c r="P15" s="222">
        <v>0</v>
      </c>
      <c r="Q15" s="268">
        <f>Tabur[[#This Row],[1TJ]]+Tabur[[#This Row],[2TJ]]+Tabur[[#This Row],[12TJ]]</f>
        <v>0</v>
      </c>
      <c r="R15" s="268">
        <f>Tabur[[#This Row],[1TK]]+Tabur[[#This Row],[2TK]]+Tabur[[#This Row],[12TK]]</f>
        <v>0</v>
      </c>
      <c r="S15" s="268">
        <f>Tabur[[#This Row],[1CJ]]+Tabur[[#This Row],[2CJ]]+Tabur[[#This Row],[12CJ]]</f>
        <v>0</v>
      </c>
      <c r="T15" s="268">
        <f>Tabur[[#This Row],[1CK]]+Tabur[[#This Row],[2CK]]+Tabur[[#This Row],[12CK]]</f>
        <v>0</v>
      </c>
      <c r="U15" s="217">
        <f>IF(OR(AND(Tabur[[#This Row],[1TJ]]&gt;0,Tabur[[#This Row],[2TJ]]&gt;0),Tabur[[#This Row],[12TJ]]&gt;0),12,IF(OR(Tabur[[#This Row],[1TJ]]&gt;0,Tabur[[#This Row],[2TJ]]&gt;0),6,0))</f>
        <v>0</v>
      </c>
      <c r="V15" s="217" t="s">
        <v>636</v>
      </c>
      <c r="W15" s="217">
        <v>100</v>
      </c>
      <c r="X15" s="223" t="s">
        <v>637</v>
      </c>
    </row>
    <row r="16" spans="2:24" x14ac:dyDescent="0.2">
      <c r="B16" s="219" t="s">
        <v>110</v>
      </c>
      <c r="C16" s="220" t="s">
        <v>44</v>
      </c>
      <c r="D16" s="220" t="s">
        <v>597</v>
      </c>
      <c r="E16" s="221">
        <f>__2L1TJ</f>
        <v>0</v>
      </c>
      <c r="F16" s="221">
        <f>__2L1TK</f>
        <v>0</v>
      </c>
      <c r="G16" s="221">
        <f>__2L1CJ</f>
        <v>0</v>
      </c>
      <c r="H16" s="221">
        <f>__2L1CK</f>
        <v>0</v>
      </c>
      <c r="I16" s="221">
        <f>__2L2TJ</f>
        <v>0</v>
      </c>
      <c r="J16" s="221">
        <f>__2L2TK</f>
        <v>0</v>
      </c>
      <c r="K16" s="221">
        <f>__2L2CJ</f>
        <v>0</v>
      </c>
      <c r="L16" s="221">
        <f>__2L2CK</f>
        <v>0</v>
      </c>
      <c r="M16" s="221">
        <v>0</v>
      </c>
      <c r="N16" s="221">
        <v>0</v>
      </c>
      <c r="O16" s="221">
        <v>0</v>
      </c>
      <c r="P16" s="222">
        <v>0</v>
      </c>
      <c r="Q16" s="268">
        <f>Tabur[[#This Row],[1TJ]]+Tabur[[#This Row],[2TJ]]+Tabur[[#This Row],[12TJ]]</f>
        <v>0</v>
      </c>
      <c r="R16" s="268">
        <f>Tabur[[#This Row],[1TK]]+Tabur[[#This Row],[2TK]]+Tabur[[#This Row],[12TK]]</f>
        <v>0</v>
      </c>
      <c r="S16" s="268">
        <f>Tabur[[#This Row],[1CJ]]+Tabur[[#This Row],[2CJ]]+Tabur[[#This Row],[12CJ]]</f>
        <v>0</v>
      </c>
      <c r="T16" s="268">
        <f>Tabur[[#This Row],[1CK]]+Tabur[[#This Row],[2CK]]+Tabur[[#This Row],[12CK]]</f>
        <v>0</v>
      </c>
      <c r="U16" s="217">
        <f>IF(OR(AND(Tabur[[#This Row],[1TJ]]&gt;0,Tabur[[#This Row],[2TJ]]&gt;0),Tabur[[#This Row],[12TJ]]&gt;0),12,IF(OR(Tabur[[#This Row],[1TJ]]&gt;0,Tabur[[#This Row],[2TJ]]&gt;0),6,0))</f>
        <v>0</v>
      </c>
      <c r="V16" s="217" t="s">
        <v>636</v>
      </c>
      <c r="W16" s="217">
        <v>100</v>
      </c>
      <c r="X16" s="223" t="s">
        <v>637</v>
      </c>
    </row>
    <row r="17" spans="2:24" x14ac:dyDescent="0.2">
      <c r="B17" s="224" t="s">
        <v>113</v>
      </c>
      <c r="C17" s="225" t="s">
        <v>46</v>
      </c>
      <c r="D17" s="220" t="s">
        <v>591</v>
      </c>
      <c r="E17" s="221">
        <f>__2M1TJ</f>
        <v>0</v>
      </c>
      <c r="F17" s="221">
        <f>__2M1TK</f>
        <v>0</v>
      </c>
      <c r="G17" s="221">
        <f>__2M1CJ</f>
        <v>0</v>
      </c>
      <c r="H17" s="221">
        <f>__2M1CK</f>
        <v>0</v>
      </c>
      <c r="I17" s="221">
        <f>__2M2TJ</f>
        <v>0</v>
      </c>
      <c r="J17" s="221">
        <f>__2M2TK</f>
        <v>0</v>
      </c>
      <c r="K17" s="221">
        <f>__2M2CJ</f>
        <v>0</v>
      </c>
      <c r="L17" s="221">
        <f>__2M2CK</f>
        <v>0</v>
      </c>
      <c r="M17" s="221">
        <v>0</v>
      </c>
      <c r="N17" s="221">
        <v>0</v>
      </c>
      <c r="O17" s="221">
        <v>0</v>
      </c>
      <c r="P17" s="222">
        <v>0</v>
      </c>
      <c r="Q17" s="268">
        <f>Tabur[[#This Row],[1TJ]]+Tabur[[#This Row],[2TJ]]+Tabur[[#This Row],[12TJ]]</f>
        <v>0</v>
      </c>
      <c r="R17" s="268">
        <f>Tabur[[#This Row],[1TK]]+Tabur[[#This Row],[2TK]]+Tabur[[#This Row],[12TK]]</f>
        <v>0</v>
      </c>
      <c r="S17" s="268">
        <f>Tabur[[#This Row],[1CJ]]+Tabur[[#This Row],[2CJ]]+Tabur[[#This Row],[12CJ]]</f>
        <v>0</v>
      </c>
      <c r="T17" s="268">
        <f>Tabur[[#This Row],[1CK]]+Tabur[[#This Row],[2CK]]+Tabur[[#This Row],[12CK]]</f>
        <v>0</v>
      </c>
      <c r="U17" s="217">
        <f>IF(OR(AND(Tabur[[#This Row],[1TJ]]&gt;0,Tabur[[#This Row],[2TJ]]&gt;0),Tabur[[#This Row],[12TJ]]&gt;0),12,IF(OR(Tabur[[#This Row],[1TJ]]&gt;0,Tabur[[#This Row],[2TJ]]&gt;0),6,0))</f>
        <v>0</v>
      </c>
      <c r="V17" s="217" t="s">
        <v>636</v>
      </c>
      <c r="W17" s="217">
        <v>100</v>
      </c>
      <c r="X17" s="223" t="s">
        <v>637</v>
      </c>
    </row>
    <row r="18" spans="2:24" x14ac:dyDescent="0.2">
      <c r="B18" s="217" t="s">
        <v>121</v>
      </c>
      <c r="C18" s="218" t="s">
        <v>47</v>
      </c>
      <c r="D18" s="218" t="s">
        <v>594</v>
      </c>
      <c r="E18" s="221">
        <f>__3A1TJ</f>
        <v>0</v>
      </c>
      <c r="F18" s="217">
        <f>__3A1TK</f>
        <v>0</v>
      </c>
      <c r="G18" s="221">
        <f>__3A1CJ</f>
        <v>0</v>
      </c>
      <c r="H18" s="217">
        <f>__3A1CK</f>
        <v>0</v>
      </c>
      <c r="I18" s="221">
        <f>__3A2TJ</f>
        <v>2</v>
      </c>
      <c r="J18" s="221">
        <f>__3A2TK</f>
        <v>30</v>
      </c>
      <c r="K18" s="221">
        <f>__3A2CJ</f>
        <v>2</v>
      </c>
      <c r="L18" s="221">
        <f>__3A2CK</f>
        <v>30</v>
      </c>
      <c r="M18" s="297">
        <f>__3A12TJ</f>
        <v>0</v>
      </c>
      <c r="N18" s="297">
        <f>__3A12TK</f>
        <v>0</v>
      </c>
      <c r="O18" s="297">
        <f>__3A12CJ</f>
        <v>0</v>
      </c>
      <c r="P18" s="297">
        <f>__3A12CK</f>
        <v>0</v>
      </c>
      <c r="Q18" s="217">
        <f>Tabur[[#This Row],[1TJ]]+Tabur[[#This Row],[2TJ]]+Tabur[[#This Row],[12TJ]]</f>
        <v>2</v>
      </c>
      <c r="R18" s="217">
        <f>Tabur[[#This Row],[1TK]]+Tabur[[#This Row],[2TK]]+Tabur[[#This Row],[12TK]]</f>
        <v>30</v>
      </c>
      <c r="S18" s="217">
        <f>Tabur[[#This Row],[1CJ]]+Tabur[[#This Row],[2CJ]]+Tabur[[#This Row],[12CJ]]</f>
        <v>2</v>
      </c>
      <c r="T18" s="217">
        <f>Tabur[[#This Row],[1CK]]+Tabur[[#This Row],[2CK]]+Tabur[[#This Row],[12CK]]</f>
        <v>30</v>
      </c>
      <c r="U18" s="217">
        <f>IF(OR(AND(Tabur[[#This Row],[1TJ]]&gt;0,Tabur[[#This Row],[2TJ]]&gt;0),Tabur[[#This Row],[12TJ]]&gt;0),12,IF(OR(Tabur[[#This Row],[1TJ]]&gt;0,Tabur[[#This Row],[2TJ]]&gt;0),6,0))</f>
        <v>6</v>
      </c>
      <c r="V18" s="217" t="s">
        <v>636</v>
      </c>
      <c r="W18" s="217">
        <v>100</v>
      </c>
      <c r="X18" s="223" t="s">
        <v>637</v>
      </c>
    </row>
    <row r="19" spans="2:24" x14ac:dyDescent="0.2">
      <c r="B19" s="217" t="s">
        <v>125</v>
      </c>
      <c r="C19" s="218" t="s">
        <v>48</v>
      </c>
      <c r="D19" s="218" t="s">
        <v>594</v>
      </c>
      <c r="E19" s="221">
        <f>__3B1TJ</f>
        <v>0</v>
      </c>
      <c r="F19" s="217">
        <f>__3B1TK</f>
        <v>0</v>
      </c>
      <c r="G19" s="221">
        <f>__3B1CJ</f>
        <v>0</v>
      </c>
      <c r="H19" s="217">
        <f>__3B1CK</f>
        <v>0</v>
      </c>
      <c r="I19" s="221">
        <f>__3B2TJ</f>
        <v>0</v>
      </c>
      <c r="J19" s="221">
        <f>__3B2TK</f>
        <v>0</v>
      </c>
      <c r="K19" s="221">
        <f>__3B2CJ</f>
        <v>0</v>
      </c>
      <c r="L19" s="221">
        <f>__3B2CK</f>
        <v>0</v>
      </c>
      <c r="M19" s="297">
        <f>__3B12TJ</f>
        <v>0</v>
      </c>
      <c r="N19" s="297">
        <f>__3B12TK</f>
        <v>0</v>
      </c>
      <c r="O19" s="297">
        <f>__3B12CJ</f>
        <v>0</v>
      </c>
      <c r="P19" s="297">
        <f>__3B12CK</f>
        <v>0</v>
      </c>
      <c r="Q19" s="217">
        <f>Tabur[[#This Row],[1TJ]]+Tabur[[#This Row],[2TJ]]+Tabur[[#This Row],[12TJ]]</f>
        <v>0</v>
      </c>
      <c r="R19" s="217">
        <f>Tabur[[#This Row],[1TK]]+Tabur[[#This Row],[2TK]]+Tabur[[#This Row],[12TK]]</f>
        <v>0</v>
      </c>
      <c r="S19" s="217">
        <f>Tabur[[#This Row],[1CJ]]+Tabur[[#This Row],[2CJ]]+Tabur[[#This Row],[12CJ]]</f>
        <v>0</v>
      </c>
      <c r="T19" s="217">
        <f>Tabur[[#This Row],[1CK]]+Tabur[[#This Row],[2CK]]+Tabur[[#This Row],[12CK]]</f>
        <v>0</v>
      </c>
      <c r="U19" s="217">
        <f>IF(OR(AND(Tabur[[#This Row],[1TJ]]&gt;0,Tabur[[#This Row],[2TJ]]&gt;0),Tabur[[#This Row],[12TJ]]&gt;0),12,IF(OR(Tabur[[#This Row],[1TJ]]&gt;0,Tabur[[#This Row],[2TJ]]&gt;0),6,0))</f>
        <v>0</v>
      </c>
      <c r="V19" s="217" t="s">
        <v>636</v>
      </c>
      <c r="W19" s="217">
        <v>100</v>
      </c>
      <c r="X19" s="223" t="s">
        <v>637</v>
      </c>
    </row>
    <row r="20" spans="2:24" x14ac:dyDescent="0.2">
      <c r="B20" s="217" t="s">
        <v>131</v>
      </c>
      <c r="C20" s="218" t="s">
        <v>49</v>
      </c>
      <c r="D20" s="218" t="s">
        <v>594</v>
      </c>
      <c r="E20" s="221">
        <f>__3C1TJ</f>
        <v>1</v>
      </c>
      <c r="F20" s="217">
        <f>__3C1TK</f>
        <v>2</v>
      </c>
      <c r="G20" s="221">
        <f>__3C1CJ</f>
        <v>1</v>
      </c>
      <c r="H20" s="217">
        <f>__3C1CK</f>
        <v>2</v>
      </c>
      <c r="I20" s="221">
        <f>__3C2TJ</f>
        <v>0</v>
      </c>
      <c r="J20" s="221">
        <f>__3C2TK</f>
        <v>0</v>
      </c>
      <c r="K20" s="221">
        <f>__3C2CJ</f>
        <v>0</v>
      </c>
      <c r="L20" s="221">
        <f>__3C2CK</f>
        <v>0</v>
      </c>
      <c r="M20" s="297">
        <f>__3C12TJ</f>
        <v>0</v>
      </c>
      <c r="N20" s="297">
        <f>__3C12TK</f>
        <v>0</v>
      </c>
      <c r="O20" s="297">
        <f>__3C12CJ</f>
        <v>0</v>
      </c>
      <c r="P20" s="297">
        <f>__3C12CK</f>
        <v>0</v>
      </c>
      <c r="Q20" s="217">
        <f>Tabur[[#This Row],[1TJ]]+Tabur[[#This Row],[2TJ]]+Tabur[[#This Row],[12TJ]]</f>
        <v>1</v>
      </c>
      <c r="R20" s="217">
        <f>Tabur[[#This Row],[1TK]]+Tabur[[#This Row],[2TK]]+Tabur[[#This Row],[12TK]]</f>
        <v>2</v>
      </c>
      <c r="S20" s="217">
        <f>Tabur[[#This Row],[1CJ]]+Tabur[[#This Row],[2CJ]]+Tabur[[#This Row],[12CJ]]</f>
        <v>1</v>
      </c>
      <c r="T20" s="217">
        <f>Tabur[[#This Row],[1CK]]+Tabur[[#This Row],[2CK]]+Tabur[[#This Row],[12CK]]</f>
        <v>2</v>
      </c>
      <c r="U20" s="217">
        <f>IF(OR(AND(Tabur[[#This Row],[1TJ]]&gt;0,Tabur[[#This Row],[2TJ]]&gt;0),Tabur[[#This Row],[12TJ]]&gt;0),12,IF(OR(Tabur[[#This Row],[1TJ]]&gt;0,Tabur[[#This Row],[2TJ]]&gt;0),6,0))</f>
        <v>6</v>
      </c>
      <c r="V20" s="217" t="s">
        <v>636</v>
      </c>
      <c r="W20" s="217">
        <v>100</v>
      </c>
      <c r="X20" s="223" t="s">
        <v>637</v>
      </c>
    </row>
    <row r="21" spans="2:24" x14ac:dyDescent="0.2">
      <c r="B21" s="217" t="s">
        <v>132</v>
      </c>
      <c r="C21" s="218" t="s">
        <v>50</v>
      </c>
      <c r="D21" s="218" t="s">
        <v>594</v>
      </c>
      <c r="E21" s="221">
        <f>__3D1TJ</f>
        <v>0</v>
      </c>
      <c r="F21" s="217">
        <f>__3D1TK</f>
        <v>0</v>
      </c>
      <c r="G21" s="221">
        <f>__3D1CJ</f>
        <v>0</v>
      </c>
      <c r="H21" s="217">
        <f>__3D1CK</f>
        <v>0</v>
      </c>
      <c r="I21" s="221">
        <f>__3D2TJ</f>
        <v>0</v>
      </c>
      <c r="J21" s="221">
        <f>__3D2TK</f>
        <v>0</v>
      </c>
      <c r="K21" s="221">
        <f>__3D2CJ</f>
        <v>0</v>
      </c>
      <c r="L21" s="221">
        <f>__3D2CK</f>
        <v>0</v>
      </c>
      <c r="M21" s="297">
        <f>__3D12TJ</f>
        <v>0</v>
      </c>
      <c r="N21" s="297">
        <f>__3D12TK</f>
        <v>0</v>
      </c>
      <c r="O21" s="297">
        <f>__3D12CJ</f>
        <v>0</v>
      </c>
      <c r="P21" s="297">
        <f>__3D12CK</f>
        <v>0</v>
      </c>
      <c r="Q21" s="217">
        <f>Tabur[[#This Row],[1TJ]]+Tabur[[#This Row],[2TJ]]+Tabur[[#This Row],[12TJ]]</f>
        <v>0</v>
      </c>
      <c r="R21" s="217">
        <f>Tabur[[#This Row],[1TK]]+Tabur[[#This Row],[2TK]]+Tabur[[#This Row],[12TK]]</f>
        <v>0</v>
      </c>
      <c r="S21" s="217">
        <f>Tabur[[#This Row],[1CJ]]+Tabur[[#This Row],[2CJ]]+Tabur[[#This Row],[12CJ]]</f>
        <v>0</v>
      </c>
      <c r="T21" s="217">
        <f>Tabur[[#This Row],[1CK]]+Tabur[[#This Row],[2CK]]+Tabur[[#This Row],[12CK]]</f>
        <v>0</v>
      </c>
      <c r="U21" s="217">
        <f>IF(OR(AND(Tabur[[#This Row],[1TJ]]&gt;0,Tabur[[#This Row],[2TJ]]&gt;0),Tabur[[#This Row],[12TJ]]&gt;0),12,IF(OR(Tabur[[#This Row],[1TJ]]&gt;0,Tabur[[#This Row],[2TJ]]&gt;0),6,0))</f>
        <v>0</v>
      </c>
      <c r="V21" s="217" t="s">
        <v>636</v>
      </c>
      <c r="W21" s="217">
        <v>100</v>
      </c>
      <c r="X21" s="223" t="s">
        <v>637</v>
      </c>
    </row>
    <row r="22" spans="2:24" x14ac:dyDescent="0.2">
      <c r="B22" s="217" t="s">
        <v>133</v>
      </c>
      <c r="C22" s="218" t="s">
        <v>51</v>
      </c>
      <c r="D22" s="218" t="s">
        <v>594</v>
      </c>
      <c r="E22" s="221">
        <f>__3E1TJ</f>
        <v>0</v>
      </c>
      <c r="F22" s="217">
        <f>__3E1TK</f>
        <v>0</v>
      </c>
      <c r="G22" s="221">
        <f>__3E1CJ</f>
        <v>0</v>
      </c>
      <c r="H22" s="217">
        <f>__3E1CK</f>
        <v>0</v>
      </c>
      <c r="I22" s="221">
        <f>__3E2TJ</f>
        <v>0</v>
      </c>
      <c r="J22" s="221">
        <f>__3E2TK</f>
        <v>0</v>
      </c>
      <c r="K22" s="221">
        <f>__3E2CJ</f>
        <v>0</v>
      </c>
      <c r="L22" s="221">
        <f>__3E2CK</f>
        <v>0</v>
      </c>
      <c r="M22" s="297">
        <f>__3E12TJ</f>
        <v>0</v>
      </c>
      <c r="N22" s="297">
        <f>__3E12TK</f>
        <v>0</v>
      </c>
      <c r="O22" s="297">
        <f>__3E12CJ</f>
        <v>0</v>
      </c>
      <c r="P22" s="297">
        <f>__3E12CK</f>
        <v>0</v>
      </c>
      <c r="Q22" s="217">
        <f>Tabur[[#This Row],[1TJ]]+Tabur[[#This Row],[2TJ]]+Tabur[[#This Row],[12TJ]]</f>
        <v>0</v>
      </c>
      <c r="R22" s="217">
        <f>Tabur[[#This Row],[1TK]]+Tabur[[#This Row],[2TK]]+Tabur[[#This Row],[12TK]]</f>
        <v>0</v>
      </c>
      <c r="S22" s="217">
        <f>Tabur[[#This Row],[1CJ]]+Tabur[[#This Row],[2CJ]]+Tabur[[#This Row],[12CJ]]</f>
        <v>0</v>
      </c>
      <c r="T22" s="217">
        <f>Tabur[[#This Row],[1CK]]+Tabur[[#This Row],[2CK]]+Tabur[[#This Row],[12CK]]</f>
        <v>0</v>
      </c>
      <c r="U22" s="217">
        <f>IF(OR(AND(Tabur[[#This Row],[1TJ]]&gt;0,Tabur[[#This Row],[2TJ]]&gt;0),Tabur[[#This Row],[12TJ]]&gt;0),12,IF(OR(Tabur[[#This Row],[1TJ]]&gt;0,Tabur[[#This Row],[2TJ]]&gt;0),6,0))</f>
        <v>0</v>
      </c>
      <c r="V22" s="217" t="s">
        <v>636</v>
      </c>
      <c r="W22" s="217">
        <v>100</v>
      </c>
      <c r="X22" s="223" t="s">
        <v>637</v>
      </c>
    </row>
    <row r="23" spans="2:24" x14ac:dyDescent="0.2">
      <c r="B23" s="217" t="s">
        <v>134</v>
      </c>
      <c r="C23" s="218" t="s">
        <v>52</v>
      </c>
      <c r="D23" s="218" t="s">
        <v>594</v>
      </c>
      <c r="E23" s="217">
        <f>__3F1TJ</f>
        <v>1</v>
      </c>
      <c r="F23" s="217">
        <f>__3F1TK</f>
        <v>15</v>
      </c>
      <c r="G23" s="217">
        <f>__3F1CJ</f>
        <v>1</v>
      </c>
      <c r="H23" s="217">
        <f>__3F1CK</f>
        <v>15</v>
      </c>
      <c r="I23" s="221">
        <f>__3F2TJ</f>
        <v>0</v>
      </c>
      <c r="J23" s="221">
        <f>__3F2TK</f>
        <v>0</v>
      </c>
      <c r="K23" s="221">
        <f>__3F2CJ</f>
        <v>0</v>
      </c>
      <c r="L23" s="221">
        <f>__3F2CK</f>
        <v>0</v>
      </c>
      <c r="M23" s="297">
        <f>__3F12TJ</f>
        <v>0</v>
      </c>
      <c r="N23" s="297">
        <f>__3F12TK</f>
        <v>0</v>
      </c>
      <c r="O23" s="297">
        <f>__3F12CJ</f>
        <v>0</v>
      </c>
      <c r="P23" s="297">
        <f>__3F12CK</f>
        <v>0</v>
      </c>
      <c r="Q23" s="217">
        <f>Tabur[[#This Row],[1TJ]]+Tabur[[#This Row],[2TJ]]+Tabur[[#This Row],[12TJ]]</f>
        <v>1</v>
      </c>
      <c r="R23" s="217">
        <f>Tabur[[#This Row],[1TK]]+Tabur[[#This Row],[2TK]]+Tabur[[#This Row],[12TK]]</f>
        <v>15</v>
      </c>
      <c r="S23" s="217">
        <f>Tabur[[#This Row],[1CJ]]+Tabur[[#This Row],[2CJ]]+Tabur[[#This Row],[12CJ]]</f>
        <v>1</v>
      </c>
      <c r="T23" s="217">
        <f>Tabur[[#This Row],[1CK]]+Tabur[[#This Row],[2CK]]+Tabur[[#This Row],[12CK]]</f>
        <v>15</v>
      </c>
      <c r="U23" s="217">
        <f>IF(OR(AND(Tabur[[#This Row],[1TJ]]&gt;0,Tabur[[#This Row],[2TJ]]&gt;0),Tabur[[#This Row],[12TJ]]&gt;0),12,IF(OR(Tabur[[#This Row],[1TJ]]&gt;0,Tabur[[#This Row],[2TJ]]&gt;0),6,0))</f>
        <v>6</v>
      </c>
      <c r="V23" s="217" t="s">
        <v>636</v>
      </c>
      <c r="W23" s="217">
        <v>100</v>
      </c>
      <c r="X23" s="223" t="s">
        <v>637</v>
      </c>
    </row>
    <row r="24" spans="2:24" x14ac:dyDescent="0.2">
      <c r="B24" s="217" t="s">
        <v>137</v>
      </c>
      <c r="C24" s="218" t="s">
        <v>53</v>
      </c>
      <c r="D24" s="218" t="s">
        <v>594</v>
      </c>
      <c r="E24" s="217">
        <f>__3G1TJ</f>
        <v>0</v>
      </c>
      <c r="F24" s="217">
        <f>__3G1TK</f>
        <v>0</v>
      </c>
      <c r="G24" s="217">
        <f>__3G1CJ</f>
        <v>0</v>
      </c>
      <c r="H24" s="217">
        <f>__3G1CK</f>
        <v>0</v>
      </c>
      <c r="I24" s="221">
        <f>__3G2TJ</f>
        <v>0</v>
      </c>
      <c r="J24" s="221">
        <f>__3G2TK</f>
        <v>0</v>
      </c>
      <c r="K24" s="221">
        <f>__3G2CJ</f>
        <v>0</v>
      </c>
      <c r="L24" s="221">
        <f>__3G2CK</f>
        <v>0</v>
      </c>
      <c r="M24" s="297">
        <f>__3G12TJ</f>
        <v>0</v>
      </c>
      <c r="N24" s="297">
        <f>__3G12TK</f>
        <v>0</v>
      </c>
      <c r="O24" s="297">
        <f>__3G12CJ</f>
        <v>0</v>
      </c>
      <c r="P24" s="297">
        <f>__3G12CK</f>
        <v>0</v>
      </c>
      <c r="Q24" s="217">
        <f>Tabur[[#This Row],[1TJ]]+Tabur[[#This Row],[2TJ]]+Tabur[[#This Row],[12TJ]]</f>
        <v>0</v>
      </c>
      <c r="R24" s="217">
        <f>Tabur[[#This Row],[1TK]]+Tabur[[#This Row],[2TK]]+Tabur[[#This Row],[12TK]]</f>
        <v>0</v>
      </c>
      <c r="S24" s="217">
        <f>Tabur[[#This Row],[1CJ]]+Tabur[[#This Row],[2CJ]]+Tabur[[#This Row],[12CJ]]</f>
        <v>0</v>
      </c>
      <c r="T24" s="217">
        <f>Tabur[[#This Row],[1CK]]+Tabur[[#This Row],[2CK]]+Tabur[[#This Row],[12CK]]</f>
        <v>0</v>
      </c>
      <c r="U24" s="217">
        <f>IF(OR(AND(Tabur[[#This Row],[1TJ]]&gt;0,Tabur[[#This Row],[2TJ]]&gt;0),Tabur[[#This Row],[12TJ]]&gt;0),12,IF(OR(Tabur[[#This Row],[1TJ]]&gt;0,Tabur[[#This Row],[2TJ]]&gt;0),6,0))</f>
        <v>0</v>
      </c>
      <c r="V24" s="217" t="s">
        <v>636</v>
      </c>
      <c r="W24" s="217">
        <v>100</v>
      </c>
      <c r="X24" s="223" t="s">
        <v>637</v>
      </c>
    </row>
    <row r="25" spans="2:24" x14ac:dyDescent="0.2">
      <c r="B25" s="217" t="s">
        <v>141</v>
      </c>
      <c r="C25" s="218" t="s">
        <v>54</v>
      </c>
      <c r="D25" s="218" t="s">
        <v>591</v>
      </c>
      <c r="E25" s="217">
        <f>__3H1TJ</f>
        <v>0</v>
      </c>
      <c r="F25" s="217">
        <f>__3H1TK</f>
        <v>0</v>
      </c>
      <c r="G25" s="217">
        <f>__3H1CJ</f>
        <v>0</v>
      </c>
      <c r="H25" s="217">
        <f>__3H1CK</f>
        <v>0</v>
      </c>
      <c r="I25" s="221">
        <f>__3H2TJ</f>
        <v>0</v>
      </c>
      <c r="J25" s="221">
        <f>__3H2TK</f>
        <v>0</v>
      </c>
      <c r="K25" s="221">
        <f>__3H2CJ</f>
        <v>0</v>
      </c>
      <c r="L25" s="221">
        <f>__3H2CK</f>
        <v>0</v>
      </c>
      <c r="M25" s="297">
        <f>__3H12TJ</f>
        <v>0</v>
      </c>
      <c r="N25" s="297">
        <f>__3H12TK</f>
        <v>0</v>
      </c>
      <c r="O25" s="297">
        <f>__3H12CJ</f>
        <v>0</v>
      </c>
      <c r="P25" s="297">
        <f>__3H12CK</f>
        <v>0</v>
      </c>
      <c r="Q25" s="217">
        <f>Tabur[[#This Row],[1TJ]]+Tabur[[#This Row],[2TJ]]+Tabur[[#This Row],[12TJ]]</f>
        <v>0</v>
      </c>
      <c r="R25" s="217">
        <f>Tabur[[#This Row],[1TK]]+Tabur[[#This Row],[2TK]]+Tabur[[#This Row],[12TK]]</f>
        <v>0</v>
      </c>
      <c r="S25" s="217">
        <f>Tabur[[#This Row],[1CJ]]+Tabur[[#This Row],[2CJ]]+Tabur[[#This Row],[12CJ]]</f>
        <v>0</v>
      </c>
      <c r="T25" s="217">
        <f>Tabur[[#This Row],[1CK]]+Tabur[[#This Row],[2CK]]+Tabur[[#This Row],[12CK]]</f>
        <v>0</v>
      </c>
      <c r="U25" s="217">
        <f>IF(OR(AND(Tabur[[#This Row],[1TJ]]&gt;0,Tabur[[#This Row],[2TJ]]&gt;0),Tabur[[#This Row],[12TJ]]&gt;0),12,IF(OR(Tabur[[#This Row],[1TJ]]&gt;0,Tabur[[#This Row],[2TJ]]&gt;0),6,0))</f>
        <v>0</v>
      </c>
      <c r="V25" s="217" t="s">
        <v>636</v>
      </c>
      <c r="W25" s="217">
        <v>100</v>
      </c>
      <c r="X25" s="223" t="s">
        <v>637</v>
      </c>
    </row>
    <row r="26" spans="2:24" x14ac:dyDescent="0.2">
      <c r="B26" s="217" t="s">
        <v>145</v>
      </c>
      <c r="C26" s="218" t="s">
        <v>55</v>
      </c>
      <c r="D26" s="218" t="s">
        <v>591</v>
      </c>
      <c r="E26" s="217">
        <f>__3I1TJ</f>
        <v>0</v>
      </c>
      <c r="F26" s="217">
        <f>__3I1TK</f>
        <v>0</v>
      </c>
      <c r="G26" s="217">
        <f>__3I1CJ</f>
        <v>0</v>
      </c>
      <c r="H26" s="217">
        <f>__3I1CK</f>
        <v>0</v>
      </c>
      <c r="I26" s="221">
        <f>__3I2TJ</f>
        <v>0</v>
      </c>
      <c r="J26" s="221">
        <f>__3I2TK</f>
        <v>0</v>
      </c>
      <c r="K26" s="221">
        <f>__3I2CJ</f>
        <v>0</v>
      </c>
      <c r="L26" s="221">
        <f>__3I2CK</f>
        <v>0</v>
      </c>
      <c r="M26" s="297">
        <f>__3I12TJ</f>
        <v>0</v>
      </c>
      <c r="N26" s="297">
        <f>__3I12TK</f>
        <v>0</v>
      </c>
      <c r="O26" s="297">
        <f>__3I12CJ</f>
        <v>0</v>
      </c>
      <c r="P26" s="297">
        <f>__3I12CK</f>
        <v>0</v>
      </c>
      <c r="Q26" s="217">
        <f>Tabur[[#This Row],[1TJ]]+Tabur[[#This Row],[2TJ]]+Tabur[[#This Row],[12TJ]]</f>
        <v>0</v>
      </c>
      <c r="R26" s="217">
        <f>Tabur[[#This Row],[1TK]]+Tabur[[#This Row],[2TK]]+Tabur[[#This Row],[12TK]]</f>
        <v>0</v>
      </c>
      <c r="S26" s="217">
        <f>Tabur[[#This Row],[1CJ]]+Tabur[[#This Row],[2CJ]]+Tabur[[#This Row],[12CJ]]</f>
        <v>0</v>
      </c>
      <c r="T26" s="217">
        <f>Tabur[[#This Row],[1CK]]+Tabur[[#This Row],[2CK]]+Tabur[[#This Row],[12CK]]</f>
        <v>0</v>
      </c>
      <c r="U26" s="217">
        <f>IF(OR(AND(Tabur[[#This Row],[1TJ]]&gt;0,Tabur[[#This Row],[2TJ]]&gt;0),Tabur[[#This Row],[12TJ]]&gt;0),12,IF(OR(Tabur[[#This Row],[1TJ]]&gt;0,Tabur[[#This Row],[2TJ]]&gt;0),6,0))</f>
        <v>0</v>
      </c>
      <c r="V26" s="217" t="s">
        <v>636</v>
      </c>
      <c r="W26" s="217">
        <v>100</v>
      </c>
      <c r="X26" s="223" t="s">
        <v>637</v>
      </c>
    </row>
    <row r="27" spans="2:24" x14ac:dyDescent="0.2">
      <c r="B27" s="217" t="s">
        <v>149</v>
      </c>
      <c r="C27" s="218" t="s">
        <v>56</v>
      </c>
      <c r="D27" s="218" t="s">
        <v>596</v>
      </c>
      <c r="E27" s="221">
        <f>__4A1TJ</f>
        <v>0</v>
      </c>
      <c r="F27" s="217">
        <f>__4A1TK</f>
        <v>0</v>
      </c>
      <c r="G27" s="221">
        <f>__4A1CJ</f>
        <v>0</v>
      </c>
      <c r="H27" s="217">
        <f>__4A1CK</f>
        <v>0</v>
      </c>
      <c r="I27" s="221">
        <f>__4A2TJ</f>
        <v>0</v>
      </c>
      <c r="J27" s="221">
        <f>__4A2TK</f>
        <v>0</v>
      </c>
      <c r="K27" s="221">
        <f>__4A2CJ</f>
        <v>0</v>
      </c>
      <c r="L27" s="221">
        <f>__4A2CK</f>
        <v>0</v>
      </c>
      <c r="Q27" s="217">
        <f>Tabur[[#This Row],[1TJ]]+Tabur[[#This Row],[2TJ]]+Tabur[[#This Row],[12TJ]]</f>
        <v>0</v>
      </c>
      <c r="R27" s="217">
        <f>Tabur[[#This Row],[1TK]]+Tabur[[#This Row],[2TK]]+Tabur[[#This Row],[12TK]]</f>
        <v>0</v>
      </c>
      <c r="S27" s="217">
        <f>Tabur[[#This Row],[1CJ]]+Tabur[[#This Row],[2CJ]]+Tabur[[#This Row],[12CJ]]</f>
        <v>0</v>
      </c>
      <c r="T27" s="217">
        <f>Tabur[[#This Row],[1CK]]+Tabur[[#This Row],[2CK]]+Tabur[[#This Row],[12CK]]</f>
        <v>0</v>
      </c>
      <c r="U27" s="217">
        <f>IF(OR(AND(Tabur[[#This Row],[1TJ]]&gt;0,Tabur[[#This Row],[2TJ]]&gt;0),Tabur[[#This Row],[12TJ]]&gt;0),12,IF(OR(Tabur[[#This Row],[1TJ]]&gt;0,Tabur[[#This Row],[2TJ]]&gt;0),6,0))</f>
        <v>0</v>
      </c>
      <c r="V27" s="217" t="s">
        <v>636</v>
      </c>
      <c r="W27" s="217">
        <v>100</v>
      </c>
      <c r="X27" s="223" t="s">
        <v>637</v>
      </c>
    </row>
    <row r="28" spans="2:24" x14ac:dyDescent="0.2">
      <c r="B28" s="217" t="s">
        <v>150</v>
      </c>
      <c r="C28" s="218" t="s">
        <v>57</v>
      </c>
      <c r="D28" s="218" t="s">
        <v>591</v>
      </c>
      <c r="E28" s="221">
        <f>__4B1TJ</f>
        <v>0</v>
      </c>
      <c r="F28" s="217">
        <f>__4B1TK</f>
        <v>0</v>
      </c>
      <c r="G28" s="221">
        <f>__4B1CJ</f>
        <v>0</v>
      </c>
      <c r="H28" s="217">
        <f>__4B1CK</f>
        <v>0</v>
      </c>
      <c r="I28" s="221">
        <f>__4B2TJ</f>
        <v>1</v>
      </c>
      <c r="J28" s="221">
        <f>__4B2TK</f>
        <v>3</v>
      </c>
      <c r="K28" s="221">
        <f>__4B2CJ</f>
        <v>1</v>
      </c>
      <c r="L28" s="221">
        <f>__4B2CK</f>
        <v>3</v>
      </c>
      <c r="Q28" s="217">
        <f>Tabur[[#This Row],[1TJ]]+Tabur[[#This Row],[2TJ]]+Tabur[[#This Row],[12TJ]]</f>
        <v>1</v>
      </c>
      <c r="R28" s="217">
        <f>Tabur[[#This Row],[1TK]]+Tabur[[#This Row],[2TK]]+Tabur[[#This Row],[12TK]]</f>
        <v>3</v>
      </c>
      <c r="S28" s="217">
        <f>Tabur[[#This Row],[1CJ]]+Tabur[[#This Row],[2CJ]]+Tabur[[#This Row],[12CJ]]</f>
        <v>1</v>
      </c>
      <c r="T28" s="217">
        <f>Tabur[[#This Row],[1CK]]+Tabur[[#This Row],[2CK]]+Tabur[[#This Row],[12CK]]</f>
        <v>3</v>
      </c>
      <c r="U28" s="217">
        <f>IF(OR(AND(Tabur[[#This Row],[1TJ]]&gt;0,Tabur[[#This Row],[2TJ]]&gt;0),Tabur[[#This Row],[12TJ]]&gt;0),12,IF(OR(Tabur[[#This Row],[1TJ]]&gt;0,Tabur[[#This Row],[2TJ]]&gt;0),6,0))</f>
        <v>6</v>
      </c>
      <c r="V28" s="217" t="s">
        <v>636</v>
      </c>
      <c r="W28" s="217">
        <v>100</v>
      </c>
      <c r="X28" s="223" t="s">
        <v>637</v>
      </c>
    </row>
    <row r="29" spans="2:24" x14ac:dyDescent="0.2">
      <c r="B29" s="217" t="s">
        <v>151</v>
      </c>
      <c r="C29" s="218" t="s">
        <v>58</v>
      </c>
      <c r="D29" s="218" t="s">
        <v>591</v>
      </c>
      <c r="E29" s="221">
        <f>__4C1TJ</f>
        <v>0</v>
      </c>
      <c r="F29" s="217">
        <f>__4C1TK</f>
        <v>0</v>
      </c>
      <c r="G29" s="221">
        <f>__4C1CJ</f>
        <v>0</v>
      </c>
      <c r="H29" s="217">
        <f>__4C1CK</f>
        <v>0</v>
      </c>
      <c r="I29" s="221">
        <f>__4C2TJ</f>
        <v>0</v>
      </c>
      <c r="J29" s="221">
        <f>__4C2TK</f>
        <v>0</v>
      </c>
      <c r="K29" s="221">
        <f>__4C2CJ</f>
        <v>0</v>
      </c>
      <c r="L29" s="221">
        <f>__4C2CK</f>
        <v>0</v>
      </c>
      <c r="M29" s="297">
        <f>__4C12TJ</f>
        <v>0</v>
      </c>
      <c r="N29" s="297">
        <f>__4C12TK</f>
        <v>0</v>
      </c>
      <c r="O29" s="297">
        <f>__4C12CJ</f>
        <v>0</v>
      </c>
      <c r="P29" s="297">
        <f>__4C12CK</f>
        <v>0</v>
      </c>
      <c r="Q29" s="217">
        <f>Tabur[[#This Row],[1TJ]]+Tabur[[#This Row],[2TJ]]+Tabur[[#This Row],[12TJ]]</f>
        <v>0</v>
      </c>
      <c r="R29" s="217">
        <f>Tabur[[#This Row],[1TK]]+Tabur[[#This Row],[2TK]]+Tabur[[#This Row],[12TK]]</f>
        <v>0</v>
      </c>
      <c r="S29" s="217">
        <f>Tabur[[#This Row],[1CJ]]+Tabur[[#This Row],[2CJ]]+Tabur[[#This Row],[12CJ]]</f>
        <v>0</v>
      </c>
      <c r="T29" s="217">
        <f>Tabur[[#This Row],[1CK]]+Tabur[[#This Row],[2CK]]+Tabur[[#This Row],[12CK]]</f>
        <v>0</v>
      </c>
      <c r="U29" s="217">
        <f>IF(OR(AND(Tabur[[#This Row],[1TJ]]&gt;0,Tabur[[#This Row],[2TJ]]&gt;0),Tabur[[#This Row],[12TJ]]&gt;0),12,IF(OR(Tabur[[#This Row],[1TJ]]&gt;0,Tabur[[#This Row],[2TJ]]&gt;0),6,0))</f>
        <v>0</v>
      </c>
      <c r="V29" s="217" t="s">
        <v>636</v>
      </c>
      <c r="W29" s="217">
        <v>100</v>
      </c>
      <c r="X29" s="223" t="s">
        <v>637</v>
      </c>
    </row>
    <row r="30" spans="2:24" x14ac:dyDescent="0.2">
      <c r="B30" s="217" t="s">
        <v>154</v>
      </c>
      <c r="C30" s="218" t="s">
        <v>59</v>
      </c>
      <c r="D30" s="218" t="s">
        <v>591</v>
      </c>
      <c r="E30" s="221">
        <f>__4D1TJ</f>
        <v>0</v>
      </c>
      <c r="F30" s="217">
        <f>__4D1TK</f>
        <v>0</v>
      </c>
      <c r="G30" s="221">
        <f>__4D1CJ</f>
        <v>0</v>
      </c>
      <c r="H30" s="217">
        <f>__4D1CK</f>
        <v>0</v>
      </c>
      <c r="I30" s="221">
        <f>__4D2TJ</f>
        <v>0</v>
      </c>
      <c r="J30" s="221">
        <f>__4D2TK</f>
        <v>0</v>
      </c>
      <c r="K30" s="221">
        <f>__4D2CJ</f>
        <v>0</v>
      </c>
      <c r="L30" s="221">
        <f>__4D2CK</f>
        <v>0</v>
      </c>
      <c r="M30" s="297">
        <f>__4D12TJ</f>
        <v>0</v>
      </c>
      <c r="N30" s="297">
        <f>__4D12TK</f>
        <v>0</v>
      </c>
      <c r="O30" s="297">
        <f>__4D12CJ</f>
        <v>0</v>
      </c>
      <c r="P30" s="297">
        <f>__4D12CK</f>
        <v>0</v>
      </c>
      <c r="Q30" s="217">
        <f>Tabur[[#This Row],[1TJ]]+Tabur[[#This Row],[2TJ]]+Tabur[[#This Row],[12TJ]]</f>
        <v>0</v>
      </c>
      <c r="R30" s="217">
        <f>Tabur[[#This Row],[1TK]]+Tabur[[#This Row],[2TK]]+Tabur[[#This Row],[12TK]]</f>
        <v>0</v>
      </c>
      <c r="S30" s="217">
        <f>Tabur[[#This Row],[1CJ]]+Tabur[[#This Row],[2CJ]]+Tabur[[#This Row],[12CJ]]</f>
        <v>0</v>
      </c>
      <c r="T30" s="217">
        <f>Tabur[[#This Row],[1CK]]+Tabur[[#This Row],[2CK]]+Tabur[[#This Row],[12CK]]</f>
        <v>0</v>
      </c>
      <c r="U30" s="217">
        <f>IF(OR(AND(Tabur[[#This Row],[1TJ]]&gt;0,Tabur[[#This Row],[2TJ]]&gt;0),Tabur[[#This Row],[12TJ]]&gt;0),12,IF(OR(Tabur[[#This Row],[1TJ]]&gt;0,Tabur[[#This Row],[2TJ]]&gt;0),6,0))</f>
        <v>0</v>
      </c>
      <c r="V30" s="217" t="s">
        <v>636</v>
      </c>
      <c r="W30" s="217">
        <v>100</v>
      </c>
      <c r="X30" s="223" t="s">
        <v>637</v>
      </c>
    </row>
    <row r="31" spans="2:24" x14ac:dyDescent="0.2">
      <c r="B31" s="217" t="s">
        <v>158</v>
      </c>
      <c r="C31" s="218" t="s">
        <v>60</v>
      </c>
      <c r="D31" s="218" t="s">
        <v>594</v>
      </c>
      <c r="E31" s="221">
        <f>__4E1TJ</f>
        <v>0</v>
      </c>
      <c r="F31" s="217">
        <f>__4E1TK</f>
        <v>0</v>
      </c>
      <c r="G31" s="221">
        <f>__4E1CJ</f>
        <v>0</v>
      </c>
      <c r="H31" s="217">
        <f>__4E1CK</f>
        <v>0</v>
      </c>
      <c r="I31" s="221">
        <f>__4E2TJ</f>
        <v>0</v>
      </c>
      <c r="J31" s="221">
        <f>__4E2TK</f>
        <v>0</v>
      </c>
      <c r="K31" s="221">
        <f>__4E2CJ</f>
        <v>0</v>
      </c>
      <c r="L31" s="221">
        <f>__4E2CK</f>
        <v>0</v>
      </c>
      <c r="Q31" s="217">
        <f>Tabur[[#This Row],[1TJ]]+Tabur[[#This Row],[2TJ]]+Tabur[[#This Row],[12TJ]]</f>
        <v>0</v>
      </c>
      <c r="R31" s="217">
        <f>Tabur[[#This Row],[1TK]]+Tabur[[#This Row],[2TK]]+Tabur[[#This Row],[12TK]]</f>
        <v>0</v>
      </c>
      <c r="S31" s="217">
        <f>Tabur[[#This Row],[1CJ]]+Tabur[[#This Row],[2CJ]]+Tabur[[#This Row],[12CJ]]</f>
        <v>0</v>
      </c>
      <c r="T31" s="217">
        <f>Tabur[[#This Row],[1CK]]+Tabur[[#This Row],[2CK]]+Tabur[[#This Row],[12CK]]</f>
        <v>0</v>
      </c>
      <c r="U31" s="217">
        <f>IF(OR(AND(Tabur[[#This Row],[1TJ]]&gt;0,Tabur[[#This Row],[2TJ]]&gt;0),Tabur[[#This Row],[12TJ]]&gt;0),12,IF(OR(Tabur[[#This Row],[1TJ]]&gt;0,Tabur[[#This Row],[2TJ]]&gt;0),6,0))</f>
        <v>0</v>
      </c>
      <c r="V31" s="217" t="s">
        <v>636</v>
      </c>
      <c r="W31" s="217">
        <v>100</v>
      </c>
      <c r="X31" s="223" t="s">
        <v>637</v>
      </c>
    </row>
    <row r="32" spans="2:24" x14ac:dyDescent="0.2">
      <c r="B32" s="217" t="s">
        <v>747</v>
      </c>
      <c r="C32" s="218" t="s">
        <v>796</v>
      </c>
      <c r="D32" s="218" t="s">
        <v>594</v>
      </c>
      <c r="E32" s="221">
        <f>__4F1TJ</f>
        <v>0</v>
      </c>
      <c r="F32" s="217">
        <f>__4F1TK</f>
        <v>0</v>
      </c>
      <c r="G32" s="221">
        <f>__4F1CJ</f>
        <v>0</v>
      </c>
      <c r="H32" s="217">
        <f>__4F1CK</f>
        <v>0</v>
      </c>
      <c r="I32" s="221">
        <f>__4F2TJ</f>
        <v>1</v>
      </c>
      <c r="J32" s="221">
        <f>__4F2TK</f>
        <v>5</v>
      </c>
      <c r="K32" s="221">
        <f>__4F2CJ</f>
        <v>1</v>
      </c>
      <c r="L32" s="221">
        <f>__4F2CK</f>
        <v>5</v>
      </c>
      <c r="Q32" s="333">
        <f>Tabur[[#This Row],[1TJ]]+Tabur[[#This Row],[2TJ]]+Tabur[[#This Row],[12TJ]]</f>
        <v>1</v>
      </c>
      <c r="R32" s="333">
        <f>Tabur[[#This Row],[1TK]]+Tabur[[#This Row],[2TK]]+Tabur[[#This Row],[12TK]]</f>
        <v>5</v>
      </c>
      <c r="S32" s="333">
        <f>Tabur[[#This Row],[1CJ]]+Tabur[[#This Row],[2CJ]]+Tabur[[#This Row],[12CJ]]</f>
        <v>1</v>
      </c>
      <c r="T32" s="333">
        <f>Tabur[[#This Row],[1CK]]+Tabur[[#This Row],[2CK]]+Tabur[[#This Row],[12CK]]</f>
        <v>5</v>
      </c>
      <c r="U32" s="333">
        <f>IF(OR(AND(Tabur[[#This Row],[1TJ]]&gt;0,Tabur[[#This Row],[2TJ]]&gt;0),Tabur[[#This Row],[12TJ]]&gt;0),12,IF(OR(Tabur[[#This Row],[1TJ]]&gt;0,Tabur[[#This Row],[2TJ]]&gt;0),6,0))</f>
        <v>6</v>
      </c>
      <c r="V32" s="217" t="s">
        <v>636</v>
      </c>
      <c r="W32" s="217">
        <v>100</v>
      </c>
      <c r="X32" s="223" t="s">
        <v>637</v>
      </c>
    </row>
    <row r="33" spans="2:24" x14ac:dyDescent="0.2">
      <c r="B33" s="217" t="s">
        <v>748</v>
      </c>
      <c r="C33" s="218" t="s">
        <v>66</v>
      </c>
      <c r="D33" s="218" t="s">
        <v>798</v>
      </c>
      <c r="E33" s="221">
        <f>__4G1TJ</f>
        <v>0</v>
      </c>
      <c r="F33" s="217">
        <f>__4G1TK</f>
        <v>0</v>
      </c>
      <c r="G33" s="221">
        <f>__4G1CJ</f>
        <v>0</v>
      </c>
      <c r="H33" s="217">
        <f>__4G1CK</f>
        <v>0</v>
      </c>
      <c r="I33" s="221">
        <f>__4G2TJ</f>
        <v>0</v>
      </c>
      <c r="J33" s="221">
        <f>__4G2TK</f>
        <v>0</v>
      </c>
      <c r="K33" s="221">
        <f>__4G2CJ</f>
        <v>0</v>
      </c>
      <c r="L33" s="221">
        <f>__4G2CK</f>
        <v>0</v>
      </c>
      <c r="M33" s="221">
        <f>__4G12TJ</f>
        <v>1</v>
      </c>
      <c r="N33" s="221">
        <f>__4G12TK</f>
        <v>0.5</v>
      </c>
      <c r="O33" s="221">
        <f>__4G12CJ</f>
        <v>1</v>
      </c>
      <c r="P33" s="221">
        <f>__4G12CK</f>
        <v>0.5</v>
      </c>
      <c r="Q33" s="333">
        <f>Tabur[[#This Row],[1TJ]]+Tabur[[#This Row],[2TJ]]+Tabur[[#This Row],[12TJ]]</f>
        <v>1</v>
      </c>
      <c r="R33" s="333">
        <f>Tabur[[#This Row],[1TK]]+Tabur[[#This Row],[2TK]]+Tabur[[#This Row],[12TK]]</f>
        <v>0.5</v>
      </c>
      <c r="S33" s="333">
        <f>Tabur[[#This Row],[1CJ]]+Tabur[[#This Row],[2CJ]]+Tabur[[#This Row],[12CJ]]</f>
        <v>1</v>
      </c>
      <c r="T33" s="333">
        <f>Tabur[[#This Row],[1CK]]+Tabur[[#This Row],[2CK]]+Tabur[[#This Row],[12CK]]</f>
        <v>0.5</v>
      </c>
      <c r="U33" s="333">
        <f>IF(OR(AND(Tabur[[#This Row],[1TJ]]&gt;0,Tabur[[#This Row],[2TJ]]&gt;0),Tabur[[#This Row],[12TJ]]&gt;0),12,IF(OR(Tabur[[#This Row],[1TJ]]&gt;0,Tabur[[#This Row],[2TJ]]&gt;0),6,0))</f>
        <v>12</v>
      </c>
      <c r="V33" s="217" t="s">
        <v>636</v>
      </c>
      <c r="W33" s="217">
        <v>100</v>
      </c>
      <c r="X33" s="223" t="s">
        <v>637</v>
      </c>
    </row>
    <row r="34" spans="2:24" x14ac:dyDescent="0.2">
      <c r="B34" s="217" t="s">
        <v>159</v>
      </c>
      <c r="C34" s="218" t="s">
        <v>61</v>
      </c>
      <c r="D34" s="218" t="s">
        <v>591</v>
      </c>
      <c r="E34" s="226">
        <f>__5A1TJ</f>
        <v>0</v>
      </c>
      <c r="F34" s="226">
        <f>__5A1TK</f>
        <v>0</v>
      </c>
      <c r="G34" s="226">
        <f>__5A1CJ</f>
        <v>0</v>
      </c>
      <c r="H34" s="226">
        <f>__5A1CK</f>
        <v>0</v>
      </c>
      <c r="I34" s="226">
        <f>__5A2TJ</f>
        <v>1</v>
      </c>
      <c r="J34" s="226">
        <f>__5A2TK</f>
        <v>2</v>
      </c>
      <c r="K34" s="226">
        <f>__5A2CJ</f>
        <v>1</v>
      </c>
      <c r="L34" s="226">
        <f>__5A2CK</f>
        <v>2</v>
      </c>
      <c r="M34" s="297">
        <f>__5A12TJ</f>
        <v>0</v>
      </c>
      <c r="N34" s="297">
        <f>__5A12TK</f>
        <v>0</v>
      </c>
      <c r="O34" s="297">
        <f>__5A12CJ</f>
        <v>0</v>
      </c>
      <c r="P34" s="297">
        <f>__5A12CK</f>
        <v>0</v>
      </c>
      <c r="Q34" s="217">
        <f>Tabur[[#This Row],[1TJ]]+Tabur[[#This Row],[2TJ]]+Tabur[[#This Row],[12TJ]]</f>
        <v>1</v>
      </c>
      <c r="R34" s="217">
        <f>Tabur[[#This Row],[1TK]]+Tabur[[#This Row],[2TK]]+Tabur[[#This Row],[12TK]]</f>
        <v>2</v>
      </c>
      <c r="S34" s="217">
        <f>Tabur[[#This Row],[1CJ]]+Tabur[[#This Row],[2CJ]]+Tabur[[#This Row],[12CJ]]</f>
        <v>1</v>
      </c>
      <c r="T34" s="217">
        <f>Tabur[[#This Row],[1CK]]+Tabur[[#This Row],[2CK]]+Tabur[[#This Row],[12CK]]</f>
        <v>2</v>
      </c>
      <c r="U34" s="217">
        <f>IF(OR(AND(Tabur[[#This Row],[1TJ]]&gt;0,Tabur[[#This Row],[2TJ]]&gt;0),Tabur[[#This Row],[12TJ]]&gt;0),12,IF(OR(Tabur[[#This Row],[1TJ]]&gt;0,Tabur[[#This Row],[2TJ]]&gt;0),6,0))</f>
        <v>6</v>
      </c>
      <c r="V34" s="217" t="s">
        <v>636</v>
      </c>
      <c r="W34" s="217">
        <v>100</v>
      </c>
      <c r="X34" s="223" t="s">
        <v>637</v>
      </c>
    </row>
    <row r="35" spans="2:24" x14ac:dyDescent="0.2">
      <c r="B35" s="217" t="s">
        <v>162</v>
      </c>
      <c r="C35" s="218" t="s">
        <v>62</v>
      </c>
      <c r="D35" s="218" t="s">
        <v>591</v>
      </c>
      <c r="E35" s="226">
        <f>__5B1TJ</f>
        <v>0</v>
      </c>
      <c r="F35" s="226">
        <f>__5B1TK</f>
        <v>0</v>
      </c>
      <c r="G35" s="226">
        <f>__5B1CJ</f>
        <v>0</v>
      </c>
      <c r="H35" s="226">
        <f>__5B1CK</f>
        <v>0</v>
      </c>
      <c r="I35" s="226">
        <f>__5B2TJ</f>
        <v>0</v>
      </c>
      <c r="J35" s="226">
        <f>__5B2TK</f>
        <v>0</v>
      </c>
      <c r="K35" s="226">
        <f>__5B2CJ</f>
        <v>0</v>
      </c>
      <c r="L35" s="226">
        <f>__5B2CK</f>
        <v>0</v>
      </c>
      <c r="M35" s="297">
        <f>__5B12TJ</f>
        <v>0</v>
      </c>
      <c r="N35" s="297">
        <f>__5B12TK</f>
        <v>0</v>
      </c>
      <c r="O35" s="297">
        <f>__5B12CJ</f>
        <v>0</v>
      </c>
      <c r="P35" s="297">
        <f>__5B12CK</f>
        <v>0</v>
      </c>
      <c r="Q35" s="217">
        <f>Tabur[[#This Row],[1TJ]]+Tabur[[#This Row],[2TJ]]+Tabur[[#This Row],[12TJ]]</f>
        <v>0</v>
      </c>
      <c r="R35" s="217">
        <f>Tabur[[#This Row],[1TK]]+Tabur[[#This Row],[2TK]]+Tabur[[#This Row],[12TK]]</f>
        <v>0</v>
      </c>
      <c r="S35" s="217">
        <f>Tabur[[#This Row],[1CJ]]+Tabur[[#This Row],[2CJ]]+Tabur[[#This Row],[12CJ]]</f>
        <v>0</v>
      </c>
      <c r="T35" s="217">
        <f>Tabur[[#This Row],[1CK]]+Tabur[[#This Row],[2CK]]+Tabur[[#This Row],[12CK]]</f>
        <v>0</v>
      </c>
      <c r="U35" s="217">
        <f>IF(OR(AND(Tabur[[#This Row],[1TJ]]&gt;0,Tabur[[#This Row],[2TJ]]&gt;0),Tabur[[#This Row],[12TJ]]&gt;0),12,IF(OR(Tabur[[#This Row],[1TJ]]&gt;0,Tabur[[#This Row],[2TJ]]&gt;0),6,0))</f>
        <v>0</v>
      </c>
      <c r="V35" s="217" t="s">
        <v>636</v>
      </c>
      <c r="W35" s="217">
        <v>100</v>
      </c>
      <c r="X35" s="223" t="s">
        <v>637</v>
      </c>
    </row>
    <row r="36" spans="2:24" x14ac:dyDescent="0.2">
      <c r="B36" s="217" t="s">
        <v>165</v>
      </c>
      <c r="C36" s="218" t="s">
        <v>63</v>
      </c>
      <c r="D36" s="218" t="s">
        <v>591</v>
      </c>
      <c r="E36" s="226">
        <f>__5C1TJ</f>
        <v>0</v>
      </c>
      <c r="F36" s="226">
        <f>__5C1TK</f>
        <v>0</v>
      </c>
      <c r="G36" s="226">
        <f>__5C1CJ</f>
        <v>0</v>
      </c>
      <c r="H36" s="226">
        <f>__5C1CK</f>
        <v>0</v>
      </c>
      <c r="I36" s="226">
        <f>__5C2TJ</f>
        <v>0</v>
      </c>
      <c r="J36" s="226">
        <f>__5C2TK</f>
        <v>0</v>
      </c>
      <c r="K36" s="226">
        <f>__5C2CJ</f>
        <v>0</v>
      </c>
      <c r="L36" s="226">
        <f>__5C2CK</f>
        <v>0</v>
      </c>
      <c r="M36" s="297">
        <f>__5C12TJ</f>
        <v>0</v>
      </c>
      <c r="N36" s="297">
        <f>__5C12TK</f>
        <v>0</v>
      </c>
      <c r="O36" s="297">
        <f>__5C12CJ</f>
        <v>0</v>
      </c>
      <c r="P36" s="297">
        <f>__5C12CK</f>
        <v>0</v>
      </c>
      <c r="Q36" s="217">
        <f>Tabur[[#This Row],[1TJ]]+Tabur[[#This Row],[2TJ]]+Tabur[[#This Row],[12TJ]]</f>
        <v>0</v>
      </c>
      <c r="R36" s="217">
        <f>Tabur[[#This Row],[1TK]]+Tabur[[#This Row],[2TK]]+Tabur[[#This Row],[12TK]]</f>
        <v>0</v>
      </c>
      <c r="S36" s="217">
        <f>Tabur[[#This Row],[1CJ]]+Tabur[[#This Row],[2CJ]]+Tabur[[#This Row],[12CJ]]</f>
        <v>0</v>
      </c>
      <c r="T36" s="217">
        <f>Tabur[[#This Row],[1CK]]+Tabur[[#This Row],[2CK]]+Tabur[[#This Row],[12CK]]</f>
        <v>0</v>
      </c>
      <c r="U36" s="217">
        <f>IF(OR(AND(Tabur[[#This Row],[1TJ]]&gt;0,Tabur[[#This Row],[2TJ]]&gt;0),Tabur[[#This Row],[12TJ]]&gt;0),12,IF(OR(Tabur[[#This Row],[1TJ]]&gt;0,Tabur[[#This Row],[2TJ]]&gt;0),6,0))</f>
        <v>0</v>
      </c>
      <c r="V36" s="217" t="s">
        <v>636</v>
      </c>
      <c r="W36" s="217">
        <v>100</v>
      </c>
      <c r="X36" s="223" t="s">
        <v>637</v>
      </c>
    </row>
    <row r="37" spans="2:24" x14ac:dyDescent="0.2">
      <c r="B37" s="217" t="s">
        <v>168</v>
      </c>
      <c r="C37" s="218" t="s">
        <v>64</v>
      </c>
      <c r="D37" s="218" t="s">
        <v>591</v>
      </c>
      <c r="E37" s="226">
        <f>__5D1TJ</f>
        <v>0</v>
      </c>
      <c r="F37" s="226">
        <f>__5D1TK</f>
        <v>0</v>
      </c>
      <c r="G37" s="226">
        <f>__5D1CJ</f>
        <v>0</v>
      </c>
      <c r="H37" s="226">
        <f>__5D1CK</f>
        <v>0</v>
      </c>
      <c r="I37" s="226">
        <f>__5D2TJ</f>
        <v>0</v>
      </c>
      <c r="J37" s="226">
        <f>__5D2TK</f>
        <v>0</v>
      </c>
      <c r="K37" s="226">
        <f>__5D2CJ</f>
        <v>0</v>
      </c>
      <c r="L37" s="226">
        <f>__5D2CK</f>
        <v>0</v>
      </c>
      <c r="Q37" s="217">
        <f>Tabur[[#This Row],[1TJ]]+Tabur[[#This Row],[2TJ]]+Tabur[[#This Row],[12TJ]]</f>
        <v>0</v>
      </c>
      <c r="R37" s="217">
        <f>Tabur[[#This Row],[1TK]]+Tabur[[#This Row],[2TK]]+Tabur[[#This Row],[12TK]]</f>
        <v>0</v>
      </c>
      <c r="S37" s="217">
        <f>Tabur[[#This Row],[1CJ]]+Tabur[[#This Row],[2CJ]]+Tabur[[#This Row],[12CJ]]</f>
        <v>0</v>
      </c>
      <c r="T37" s="217">
        <f>Tabur[[#This Row],[1CK]]+Tabur[[#This Row],[2CK]]+Tabur[[#This Row],[12CK]]</f>
        <v>0</v>
      </c>
      <c r="U37" s="217">
        <f>IF(OR(AND(Tabur[[#This Row],[1TJ]]&gt;0,Tabur[[#This Row],[2TJ]]&gt;0),Tabur[[#This Row],[12TJ]]&gt;0),12,IF(OR(Tabur[[#This Row],[1TJ]]&gt;0,Tabur[[#This Row],[2TJ]]&gt;0),6,0))</f>
        <v>0</v>
      </c>
      <c r="V37" s="217" t="s">
        <v>636</v>
      </c>
      <c r="W37" s="217">
        <v>100</v>
      </c>
      <c r="X37" s="223" t="s">
        <v>637</v>
      </c>
    </row>
    <row r="38" spans="2:24" x14ac:dyDescent="0.2">
      <c r="B38" s="217" t="s">
        <v>169</v>
      </c>
      <c r="C38" s="218" t="s">
        <v>65</v>
      </c>
      <c r="D38" s="218" t="s">
        <v>591</v>
      </c>
      <c r="E38" s="226">
        <f>__5E1TJ</f>
        <v>0</v>
      </c>
      <c r="F38" s="226">
        <f>__5E1TK</f>
        <v>0</v>
      </c>
      <c r="G38" s="226">
        <f>__5E1CJ</f>
        <v>0</v>
      </c>
      <c r="H38" s="226">
        <f>__5E1CK</f>
        <v>0</v>
      </c>
      <c r="I38" s="226">
        <f>__5E2TJ</f>
        <v>0</v>
      </c>
      <c r="J38" s="226">
        <f>__5E2TK</f>
        <v>0</v>
      </c>
      <c r="K38" s="226">
        <f>__5E2CJ</f>
        <v>0</v>
      </c>
      <c r="L38" s="226">
        <f>__5E2CK</f>
        <v>0</v>
      </c>
      <c r="M38" s="297">
        <f>__5E12TJ</f>
        <v>0</v>
      </c>
      <c r="N38" s="297">
        <f>__5E12TK</f>
        <v>0</v>
      </c>
      <c r="O38" s="297">
        <f>__5E12CJ</f>
        <v>0</v>
      </c>
      <c r="P38" s="297">
        <f>__5E12CK</f>
        <v>0</v>
      </c>
      <c r="Q38" s="217">
        <f>Tabur[[#This Row],[1TJ]]+Tabur[[#This Row],[2TJ]]+Tabur[[#This Row],[12TJ]]</f>
        <v>0</v>
      </c>
      <c r="R38" s="217">
        <f>Tabur[[#This Row],[1TK]]+Tabur[[#This Row],[2TK]]+Tabur[[#This Row],[12TK]]</f>
        <v>0</v>
      </c>
      <c r="S38" s="217">
        <f>Tabur[[#This Row],[1CJ]]+Tabur[[#This Row],[2CJ]]+Tabur[[#This Row],[12CJ]]</f>
        <v>0</v>
      </c>
      <c r="T38" s="217">
        <f>Tabur[[#This Row],[1CK]]+Tabur[[#This Row],[2CK]]+Tabur[[#This Row],[12CK]]</f>
        <v>0</v>
      </c>
      <c r="U38" s="217">
        <f>IF(OR(AND(Tabur[[#This Row],[1TJ]]&gt;0,Tabur[[#This Row],[2TJ]]&gt;0),Tabur[[#This Row],[12TJ]]&gt;0),12,IF(OR(Tabur[[#This Row],[1TJ]]&gt;0,Tabur[[#This Row],[2TJ]]&gt;0),6,0))</f>
        <v>0</v>
      </c>
      <c r="V38" s="217" t="s">
        <v>636</v>
      </c>
      <c r="W38" s="217">
        <v>100</v>
      </c>
      <c r="X38" s="223" t="s">
        <v>637</v>
      </c>
    </row>
    <row r="39" spans="2:24" x14ac:dyDescent="0.2">
      <c r="B39" s="217" t="s">
        <v>172</v>
      </c>
      <c r="C39" s="218" t="s">
        <v>67</v>
      </c>
      <c r="D39" s="218" t="s">
        <v>591</v>
      </c>
      <c r="E39" s="226">
        <f>__5F1TJ</f>
        <v>0</v>
      </c>
      <c r="F39" s="226">
        <f>__5F1TK</f>
        <v>0</v>
      </c>
      <c r="G39" s="226">
        <f>__5F1CJ</f>
        <v>0</v>
      </c>
      <c r="H39" s="226">
        <f>__5F1CK</f>
        <v>0</v>
      </c>
      <c r="I39" s="226">
        <f>__5F2TJ</f>
        <v>0</v>
      </c>
      <c r="J39" s="226">
        <f>__5F2TK</f>
        <v>0</v>
      </c>
      <c r="K39" s="226">
        <f>__5F2CJ</f>
        <v>0</v>
      </c>
      <c r="L39" s="226">
        <f>__5F2CK</f>
        <v>0</v>
      </c>
      <c r="Q39" s="217">
        <f>Tabur[[#This Row],[1TJ]]+Tabur[[#This Row],[2TJ]]+Tabur[[#This Row],[12TJ]]</f>
        <v>0</v>
      </c>
      <c r="R39" s="217">
        <f>Tabur[[#This Row],[1TK]]+Tabur[[#This Row],[2TK]]+Tabur[[#This Row],[12TK]]</f>
        <v>0</v>
      </c>
      <c r="S39" s="217">
        <f>Tabur[[#This Row],[1CJ]]+Tabur[[#This Row],[2CJ]]+Tabur[[#This Row],[12CJ]]</f>
        <v>0</v>
      </c>
      <c r="T39" s="217">
        <f>Tabur[[#This Row],[1CK]]+Tabur[[#This Row],[2CK]]+Tabur[[#This Row],[12CK]]</f>
        <v>0</v>
      </c>
      <c r="U39" s="217">
        <f>IF(OR(AND(Tabur[[#This Row],[1TJ]]&gt;0,Tabur[[#This Row],[2TJ]]&gt;0),Tabur[[#This Row],[12TJ]]&gt;0),12,IF(OR(Tabur[[#This Row],[1TJ]]&gt;0,Tabur[[#This Row],[2TJ]]&gt;0),6,0))</f>
        <v>0</v>
      </c>
      <c r="V39" s="217" t="s">
        <v>636</v>
      </c>
      <c r="W39" s="217">
        <v>100</v>
      </c>
      <c r="X39" s="223" t="s">
        <v>637</v>
      </c>
    </row>
    <row r="40" spans="2:24" x14ac:dyDescent="0.2">
      <c r="B40" s="217" t="s">
        <v>175</v>
      </c>
      <c r="C40" s="218" t="s">
        <v>68</v>
      </c>
      <c r="D40" s="218" t="s">
        <v>591</v>
      </c>
      <c r="E40" s="226">
        <f>__5G1TJ</f>
        <v>0</v>
      </c>
      <c r="F40" s="226">
        <f>__5G1TK</f>
        <v>0</v>
      </c>
      <c r="G40" s="226">
        <f>__5G1CJ</f>
        <v>0</v>
      </c>
      <c r="H40" s="226">
        <f>__5G1CK</f>
        <v>0</v>
      </c>
      <c r="I40" s="226">
        <f>__5G2TJ</f>
        <v>0</v>
      </c>
      <c r="J40" s="226">
        <f>__5G2TK</f>
        <v>0</v>
      </c>
      <c r="K40" s="226">
        <f>__5G2CJ</f>
        <v>0</v>
      </c>
      <c r="L40" s="226">
        <f>__5G2CK</f>
        <v>0</v>
      </c>
      <c r="Q40" s="217">
        <f>Tabur[[#This Row],[1TJ]]+Tabur[[#This Row],[2TJ]]+Tabur[[#This Row],[12TJ]]</f>
        <v>0</v>
      </c>
      <c r="R40" s="217">
        <f>Tabur[[#This Row],[1TK]]+Tabur[[#This Row],[2TK]]+Tabur[[#This Row],[12TK]]</f>
        <v>0</v>
      </c>
      <c r="S40" s="217">
        <f>Tabur[[#This Row],[1CJ]]+Tabur[[#This Row],[2CJ]]+Tabur[[#This Row],[12CJ]]</f>
        <v>0</v>
      </c>
      <c r="T40" s="217">
        <f>Tabur[[#This Row],[1CK]]+Tabur[[#This Row],[2CK]]+Tabur[[#This Row],[12CK]]</f>
        <v>0</v>
      </c>
      <c r="U40" s="217">
        <f>IF(OR(AND(Tabur[[#This Row],[1TJ]]&gt;0,Tabur[[#This Row],[2TJ]]&gt;0),Tabur[[#This Row],[12TJ]]&gt;0),12,IF(OR(Tabur[[#This Row],[1TJ]]&gt;0,Tabur[[#This Row],[2TJ]]&gt;0),6,0))</f>
        <v>0</v>
      </c>
      <c r="V40" s="217" t="s">
        <v>636</v>
      </c>
      <c r="W40" s="217">
        <v>100</v>
      </c>
      <c r="X40" s="223" t="s">
        <v>637</v>
      </c>
    </row>
    <row r="41" spans="2:24" x14ac:dyDescent="0.2">
      <c r="B41" s="217" t="s">
        <v>178</v>
      </c>
      <c r="C41" s="218" t="s">
        <v>69</v>
      </c>
      <c r="D41" s="218" t="s">
        <v>591</v>
      </c>
      <c r="E41" s="226">
        <f>__5H1TJ</f>
        <v>0</v>
      </c>
      <c r="F41" s="226">
        <f>__5H1TK</f>
        <v>0</v>
      </c>
      <c r="G41" s="226">
        <f>__5H1CJ</f>
        <v>0</v>
      </c>
      <c r="H41" s="226">
        <f>__5H1CK</f>
        <v>0</v>
      </c>
      <c r="I41" s="226">
        <f>__5H2TJ</f>
        <v>0</v>
      </c>
      <c r="J41" s="226">
        <f>__5H2TK</f>
        <v>0</v>
      </c>
      <c r="K41" s="226">
        <f>__5H2CJ</f>
        <v>0</v>
      </c>
      <c r="L41" s="226">
        <f>__5H2CK</f>
        <v>0</v>
      </c>
      <c r="Q41" s="217">
        <f>Tabur[[#This Row],[1TJ]]+Tabur[[#This Row],[2TJ]]+Tabur[[#This Row],[12TJ]]</f>
        <v>0</v>
      </c>
      <c r="R41" s="217">
        <f>Tabur[[#This Row],[1TK]]+Tabur[[#This Row],[2TK]]+Tabur[[#This Row],[12TK]]</f>
        <v>0</v>
      </c>
      <c r="S41" s="217">
        <f>Tabur[[#This Row],[1CJ]]+Tabur[[#This Row],[2CJ]]+Tabur[[#This Row],[12CJ]]</f>
        <v>0</v>
      </c>
      <c r="T41" s="217">
        <f>Tabur[[#This Row],[1CK]]+Tabur[[#This Row],[2CK]]+Tabur[[#This Row],[12CK]]</f>
        <v>0</v>
      </c>
      <c r="U41" s="217">
        <f>IF(OR(AND(Tabur[[#This Row],[1TJ]]&gt;0,Tabur[[#This Row],[2TJ]]&gt;0),Tabur[[#This Row],[12TJ]]&gt;0),12,IF(OR(Tabur[[#This Row],[1TJ]]&gt;0,Tabur[[#This Row],[2TJ]]&gt;0),6,0))</f>
        <v>0</v>
      </c>
      <c r="V41" s="217" t="s">
        <v>636</v>
      </c>
      <c r="W41" s="217">
        <v>100</v>
      </c>
      <c r="X41" s="223" t="s">
        <v>637</v>
      </c>
    </row>
    <row r="42" spans="2:24" x14ac:dyDescent="0.2">
      <c r="B42" s="217" t="s">
        <v>185</v>
      </c>
      <c r="C42" s="218" t="s">
        <v>70</v>
      </c>
      <c r="D42" s="218" t="s">
        <v>594</v>
      </c>
      <c r="E42" s="226">
        <f>__5I1TJ</f>
        <v>0</v>
      </c>
      <c r="F42" s="226">
        <f>__5I1TK</f>
        <v>0</v>
      </c>
      <c r="G42" s="226">
        <f>__5I1CJ</f>
        <v>0</v>
      </c>
      <c r="H42" s="226">
        <f>__5I1CK</f>
        <v>0</v>
      </c>
      <c r="I42" s="226">
        <f>__5I2TJ</f>
        <v>0</v>
      </c>
      <c r="J42" s="226">
        <f>__5I2TK</f>
        <v>0</v>
      </c>
      <c r="K42" s="226">
        <f>__5I2CJ</f>
        <v>0</v>
      </c>
      <c r="L42" s="226">
        <f>__5I2CK</f>
        <v>0</v>
      </c>
      <c r="Q42" s="217">
        <f>Tabur[[#This Row],[1TJ]]+Tabur[[#This Row],[2TJ]]+Tabur[[#This Row],[12TJ]]</f>
        <v>0</v>
      </c>
      <c r="R42" s="217">
        <f>Tabur[[#This Row],[1TK]]+Tabur[[#This Row],[2TK]]+Tabur[[#This Row],[12TK]]</f>
        <v>0</v>
      </c>
      <c r="S42" s="217">
        <f>Tabur[[#This Row],[1CJ]]+Tabur[[#This Row],[2CJ]]+Tabur[[#This Row],[12CJ]]</f>
        <v>0</v>
      </c>
      <c r="T42" s="217">
        <f>Tabur[[#This Row],[1CK]]+Tabur[[#This Row],[2CK]]+Tabur[[#This Row],[12CK]]</f>
        <v>0</v>
      </c>
      <c r="U42" s="217">
        <f>IF(OR(AND(Tabur[[#This Row],[1TJ]]&gt;0,Tabur[[#This Row],[2TJ]]&gt;0),Tabur[[#This Row],[12TJ]]&gt;0),12,IF(OR(Tabur[[#This Row],[1TJ]]&gt;0,Tabur[[#This Row],[2TJ]]&gt;0),6,0))</f>
        <v>0</v>
      </c>
      <c r="V42" s="217" t="s">
        <v>636</v>
      </c>
      <c r="W42" s="217">
        <v>100</v>
      </c>
      <c r="X42" s="223" t="s">
        <v>637</v>
      </c>
    </row>
    <row r="43" spans="2:24" x14ac:dyDescent="0.2">
      <c r="B43" s="217" t="s">
        <v>189</v>
      </c>
      <c r="C43" s="218" t="s">
        <v>71</v>
      </c>
      <c r="D43" s="218" t="s">
        <v>591</v>
      </c>
      <c r="E43" s="226">
        <f>__5J1TJ</f>
        <v>0</v>
      </c>
      <c r="F43" s="226">
        <f>__5J1TK</f>
        <v>0</v>
      </c>
      <c r="G43" s="226">
        <f>__5J1CJ</f>
        <v>0</v>
      </c>
      <c r="H43" s="226">
        <f>__5J1CK</f>
        <v>0</v>
      </c>
      <c r="I43" s="226">
        <f>__5J2TJ</f>
        <v>0</v>
      </c>
      <c r="J43" s="226">
        <f>__5J2TK</f>
        <v>0</v>
      </c>
      <c r="K43" s="226">
        <f>__5J2CJ</f>
        <v>0</v>
      </c>
      <c r="L43" s="226">
        <f>__5J2CK</f>
        <v>0</v>
      </c>
      <c r="Q43" s="217">
        <f>Tabur[[#This Row],[1TJ]]+Tabur[[#This Row],[2TJ]]+Tabur[[#This Row],[12TJ]]</f>
        <v>0</v>
      </c>
      <c r="R43" s="217">
        <f>Tabur[[#This Row],[1TK]]+Tabur[[#This Row],[2TK]]+Tabur[[#This Row],[12TK]]</f>
        <v>0</v>
      </c>
      <c r="S43" s="217">
        <f>Tabur[[#This Row],[1CJ]]+Tabur[[#This Row],[2CJ]]+Tabur[[#This Row],[12CJ]]</f>
        <v>0</v>
      </c>
      <c r="T43" s="217">
        <f>Tabur[[#This Row],[1CK]]+Tabur[[#This Row],[2CK]]+Tabur[[#This Row],[12CK]]</f>
        <v>0</v>
      </c>
      <c r="U43" s="217">
        <f>IF(OR(AND(Tabur[[#This Row],[1TJ]]&gt;0,Tabur[[#This Row],[2TJ]]&gt;0),Tabur[[#This Row],[12TJ]]&gt;0),12,IF(OR(Tabur[[#This Row],[1TJ]]&gt;0,Tabur[[#This Row],[2TJ]]&gt;0),6,0))</f>
        <v>0</v>
      </c>
      <c r="V43" s="217" t="s">
        <v>636</v>
      </c>
      <c r="W43" s="217">
        <v>100</v>
      </c>
      <c r="X43" s="223" t="s">
        <v>637</v>
      </c>
    </row>
  </sheetData>
  <mergeCells count="19">
    <mergeCell ref="Q1:T1"/>
    <mergeCell ref="Q2:R2"/>
    <mergeCell ref="S2:T2"/>
    <mergeCell ref="W1:W3"/>
    <mergeCell ref="X1:X3"/>
    <mergeCell ref="B1:B3"/>
    <mergeCell ref="C1:C3"/>
    <mergeCell ref="D1:D3"/>
    <mergeCell ref="U1:U3"/>
    <mergeCell ref="V1:V3"/>
    <mergeCell ref="M1:P1"/>
    <mergeCell ref="M2:N2"/>
    <mergeCell ref="O2:P2"/>
    <mergeCell ref="E1:H1"/>
    <mergeCell ref="E2:F2"/>
    <mergeCell ref="G2:H2"/>
    <mergeCell ref="I1:L1"/>
    <mergeCell ref="I2:J2"/>
    <mergeCell ref="K2:L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/>
  </sheetPr>
  <dimension ref="B2:M84"/>
  <sheetViews>
    <sheetView topLeftCell="A64" workbookViewId="0">
      <selection activeCell="I87" sqref="I87"/>
    </sheetView>
  </sheetViews>
  <sheetFormatPr baseColWidth="10" defaultColWidth="9.1640625" defaultRowHeight="15" x14ac:dyDescent="0.2"/>
  <cols>
    <col min="1" max="1" width="2.6640625" style="1" customWidth="1"/>
    <col min="2" max="2" width="38.83203125" style="1" customWidth="1"/>
    <col min="3" max="3" width="8.6640625" style="1" customWidth="1"/>
    <col min="4" max="4" width="7.83203125" style="1" customWidth="1"/>
    <col min="5" max="5" width="3.6640625" style="1" customWidth="1"/>
    <col min="6" max="6" width="19.5" style="1" customWidth="1"/>
    <col min="7" max="7" width="15.5" style="1" customWidth="1"/>
    <col min="8" max="13" width="13.6640625" style="1" customWidth="1"/>
    <col min="14" max="16384" width="9.1640625" style="1"/>
  </cols>
  <sheetData>
    <row r="2" spans="2:11" x14ac:dyDescent="0.2">
      <c r="B2" s="551" t="s">
        <v>350</v>
      </c>
      <c r="C2" s="551"/>
      <c r="F2" s="551" t="s">
        <v>352</v>
      </c>
      <c r="G2" s="551"/>
      <c r="H2" s="551"/>
      <c r="I2" s="551"/>
      <c r="J2" s="551"/>
      <c r="K2" s="551"/>
    </row>
    <row r="3" spans="2:11" x14ac:dyDescent="0.2">
      <c r="B3" s="1" t="s">
        <v>0</v>
      </c>
      <c r="C3" s="1" t="s">
        <v>12</v>
      </c>
      <c r="F3" s="1" t="s">
        <v>0</v>
      </c>
      <c r="G3" s="1" t="s">
        <v>6</v>
      </c>
      <c r="H3" s="1" t="s">
        <v>10</v>
      </c>
      <c r="I3" s="1" t="s">
        <v>11</v>
      </c>
      <c r="J3" s="1" t="s">
        <v>7</v>
      </c>
      <c r="K3" s="1" t="s">
        <v>8</v>
      </c>
    </row>
    <row r="4" spans="2:11" x14ac:dyDescent="0.2">
      <c r="B4" s="1" t="s">
        <v>1</v>
      </c>
      <c r="C4" s="1">
        <v>0</v>
      </c>
      <c r="F4" s="1" t="s">
        <v>1</v>
      </c>
      <c r="G4" s="1" t="s">
        <v>7</v>
      </c>
      <c r="H4" s="2">
        <v>0</v>
      </c>
      <c r="I4" s="2">
        <v>0</v>
      </c>
      <c r="J4" s="2">
        <v>0</v>
      </c>
      <c r="K4" s="2">
        <v>0</v>
      </c>
    </row>
    <row r="5" spans="2:11" x14ac:dyDescent="0.2">
      <c r="B5" s="1" t="s">
        <v>2</v>
      </c>
      <c r="C5" s="1">
        <v>150</v>
      </c>
      <c r="F5" s="1" t="s">
        <v>1</v>
      </c>
      <c r="G5" s="1" t="s">
        <v>8</v>
      </c>
      <c r="H5" s="2">
        <v>0</v>
      </c>
      <c r="I5" s="2">
        <v>0</v>
      </c>
      <c r="J5" s="2">
        <v>0</v>
      </c>
      <c r="K5" s="2">
        <v>0</v>
      </c>
    </row>
    <row r="6" spans="2:11" x14ac:dyDescent="0.2">
      <c r="B6" s="1" t="s">
        <v>3</v>
      </c>
      <c r="C6" s="1">
        <v>200</v>
      </c>
      <c r="F6" s="1" t="s">
        <v>2</v>
      </c>
      <c r="G6" s="1" t="s">
        <v>7</v>
      </c>
      <c r="H6" s="2">
        <v>1</v>
      </c>
      <c r="I6" s="2">
        <v>1</v>
      </c>
      <c r="J6" s="2">
        <v>0</v>
      </c>
      <c r="K6" s="2">
        <v>0</v>
      </c>
    </row>
    <row r="7" spans="2:11" x14ac:dyDescent="0.2">
      <c r="B7" s="1" t="s">
        <v>3</v>
      </c>
      <c r="C7" s="1">
        <v>300</v>
      </c>
      <c r="F7" s="1" t="s">
        <v>2</v>
      </c>
      <c r="G7" s="1" t="s">
        <v>8</v>
      </c>
      <c r="H7" s="2">
        <v>1</v>
      </c>
      <c r="I7" s="2">
        <v>1</v>
      </c>
      <c r="J7" s="2">
        <v>1</v>
      </c>
      <c r="K7" s="2">
        <v>1</v>
      </c>
    </row>
    <row r="8" spans="2:11" x14ac:dyDescent="0.2">
      <c r="B8" s="1" t="s">
        <v>4</v>
      </c>
      <c r="C8" s="1">
        <v>400</v>
      </c>
      <c r="F8" s="1" t="s">
        <v>3</v>
      </c>
      <c r="G8" s="1" t="s">
        <v>7</v>
      </c>
      <c r="H8" s="2">
        <v>1</v>
      </c>
      <c r="I8" s="2">
        <v>1</v>
      </c>
      <c r="J8" s="2">
        <v>0</v>
      </c>
      <c r="K8" s="2">
        <v>0</v>
      </c>
    </row>
    <row r="9" spans="2:11" x14ac:dyDescent="0.2">
      <c r="B9" s="1" t="s">
        <v>4</v>
      </c>
      <c r="C9" s="1">
        <v>550</v>
      </c>
      <c r="F9" s="1" t="s">
        <v>3</v>
      </c>
      <c r="G9" s="1" t="s">
        <v>8</v>
      </c>
      <c r="H9" s="2">
        <v>1</v>
      </c>
      <c r="I9" s="2">
        <v>1</v>
      </c>
      <c r="J9" s="2">
        <v>1</v>
      </c>
      <c r="K9" s="2">
        <v>1</v>
      </c>
    </row>
    <row r="10" spans="2:11" x14ac:dyDescent="0.2">
      <c r="B10" s="1" t="s">
        <v>4</v>
      </c>
      <c r="C10" s="1">
        <v>700</v>
      </c>
      <c r="F10" s="1" t="s">
        <v>4</v>
      </c>
      <c r="G10" s="1" t="s">
        <v>7</v>
      </c>
      <c r="H10" s="2">
        <v>1</v>
      </c>
      <c r="I10" s="2">
        <v>1</v>
      </c>
      <c r="J10" s="2">
        <v>0</v>
      </c>
      <c r="K10" s="2">
        <v>0</v>
      </c>
    </row>
    <row r="11" spans="2:11" x14ac:dyDescent="0.2">
      <c r="B11" s="1" t="s">
        <v>5</v>
      </c>
      <c r="C11" s="1">
        <v>850</v>
      </c>
      <c r="F11" s="1" t="s">
        <v>4</v>
      </c>
      <c r="G11" s="1" t="s">
        <v>8</v>
      </c>
      <c r="H11" s="2">
        <v>1</v>
      </c>
      <c r="I11" s="2">
        <v>1</v>
      </c>
      <c r="J11" s="2">
        <v>1</v>
      </c>
      <c r="K11" s="2">
        <v>1</v>
      </c>
    </row>
    <row r="12" spans="2:11" x14ac:dyDescent="0.2">
      <c r="B12" s="1" t="s">
        <v>5</v>
      </c>
      <c r="C12" s="1">
        <v>1050</v>
      </c>
      <c r="F12" s="1" t="s">
        <v>5</v>
      </c>
      <c r="G12" s="1" t="s">
        <v>8</v>
      </c>
      <c r="H12" s="2">
        <v>1</v>
      </c>
      <c r="I12" s="2">
        <v>1</v>
      </c>
      <c r="J12" s="2">
        <v>1</v>
      </c>
      <c r="K12" s="2">
        <v>1</v>
      </c>
    </row>
    <row r="14" spans="2:11" x14ac:dyDescent="0.2">
      <c r="B14" s="551" t="s">
        <v>365</v>
      </c>
      <c r="C14" s="551"/>
      <c r="D14" s="551"/>
      <c r="F14" s="551" t="s">
        <v>353</v>
      </c>
      <c r="G14" s="551"/>
      <c r="H14" s="551"/>
    </row>
    <row r="15" spans="2:11" x14ac:dyDescent="0.2">
      <c r="B15" s="1" t="s">
        <v>364</v>
      </c>
      <c r="C15" s="1" t="s">
        <v>12</v>
      </c>
      <c r="D15" s="1" t="s">
        <v>413</v>
      </c>
      <c r="F15" s="14" t="s">
        <v>0</v>
      </c>
      <c r="G15" s="1" t="s">
        <v>339</v>
      </c>
      <c r="H15" s="1" t="s">
        <v>340</v>
      </c>
    </row>
    <row r="16" spans="2:11" x14ac:dyDescent="0.2">
      <c r="B16" s="1" t="s">
        <v>357</v>
      </c>
      <c r="C16" s="2">
        <v>1</v>
      </c>
      <c r="D16" s="2">
        <v>1</v>
      </c>
      <c r="F16" s="14" t="s">
        <v>1</v>
      </c>
      <c r="G16" s="2">
        <v>0</v>
      </c>
      <c r="H16" s="2">
        <v>0</v>
      </c>
    </row>
    <row r="17" spans="2:11" x14ac:dyDescent="0.2">
      <c r="B17" s="1" t="s">
        <v>363</v>
      </c>
      <c r="C17" s="2">
        <v>1</v>
      </c>
      <c r="D17" s="2">
        <v>1</v>
      </c>
      <c r="F17" s="14" t="s">
        <v>2</v>
      </c>
      <c r="G17" s="2">
        <v>0.5</v>
      </c>
      <c r="H17" s="2">
        <v>0.25</v>
      </c>
    </row>
    <row r="18" spans="2:11" x14ac:dyDescent="0.2">
      <c r="F18" s="14" t="s">
        <v>3</v>
      </c>
      <c r="G18" s="2">
        <v>1</v>
      </c>
      <c r="H18" s="2">
        <v>0.5</v>
      </c>
    </row>
    <row r="19" spans="2:11" x14ac:dyDescent="0.2">
      <c r="B19" s="551" t="s">
        <v>351</v>
      </c>
      <c r="C19" s="551"/>
      <c r="F19" s="14" t="s">
        <v>4</v>
      </c>
      <c r="G19" s="2">
        <v>1</v>
      </c>
      <c r="H19" s="2">
        <v>0.5</v>
      </c>
    </row>
    <row r="20" spans="2:11" x14ac:dyDescent="0.2">
      <c r="B20" s="1" t="s">
        <v>6</v>
      </c>
      <c r="C20" s="1" t="s">
        <v>12</v>
      </c>
      <c r="F20" s="14" t="s">
        <v>5</v>
      </c>
      <c r="G20" s="2">
        <v>1</v>
      </c>
      <c r="H20" s="2">
        <v>0.5</v>
      </c>
    </row>
    <row r="21" spans="2:11" x14ac:dyDescent="0.2">
      <c r="B21" s="1" t="s">
        <v>7</v>
      </c>
      <c r="C21" s="1">
        <v>150</v>
      </c>
    </row>
    <row r="22" spans="2:11" x14ac:dyDescent="0.2">
      <c r="B22" s="1" t="s">
        <v>7</v>
      </c>
      <c r="C22" s="1">
        <v>10</v>
      </c>
      <c r="F22" s="551" t="s">
        <v>397</v>
      </c>
      <c r="G22" s="551"/>
      <c r="H22" s="551"/>
      <c r="I22" s="551"/>
      <c r="J22" s="551"/>
      <c r="K22" s="551"/>
    </row>
    <row r="23" spans="2:11" x14ac:dyDescent="0.2">
      <c r="B23" s="1" t="s">
        <v>8</v>
      </c>
      <c r="C23" s="1">
        <v>200</v>
      </c>
      <c r="F23" s="1" t="s">
        <v>0</v>
      </c>
      <c r="G23" s="1" t="s">
        <v>6</v>
      </c>
      <c r="H23" s="1" t="s">
        <v>382</v>
      </c>
      <c r="I23" s="1" t="s">
        <v>217</v>
      </c>
      <c r="J23" s="1" t="s">
        <v>216</v>
      </c>
      <c r="K23" s="1" t="s">
        <v>381</v>
      </c>
    </row>
    <row r="24" spans="2:11" x14ac:dyDescent="0.2">
      <c r="B24" s="1" t="s">
        <v>8</v>
      </c>
      <c r="C24" s="1">
        <v>15</v>
      </c>
      <c r="F24" s="34" t="s">
        <v>1</v>
      </c>
      <c r="G24" s="35" t="s">
        <v>7</v>
      </c>
      <c r="H24" s="2">
        <v>0</v>
      </c>
      <c r="I24" s="2">
        <v>0</v>
      </c>
      <c r="J24" s="2">
        <v>0</v>
      </c>
      <c r="K24" s="2">
        <v>0</v>
      </c>
    </row>
    <row r="25" spans="2:11" x14ac:dyDescent="0.2">
      <c r="F25" s="34" t="s">
        <v>1</v>
      </c>
      <c r="G25" s="38" t="s">
        <v>8</v>
      </c>
      <c r="H25" s="39">
        <v>0</v>
      </c>
      <c r="I25" s="39">
        <v>0</v>
      </c>
      <c r="J25" s="39">
        <v>0</v>
      </c>
      <c r="K25" s="39">
        <v>0</v>
      </c>
    </row>
    <row r="26" spans="2:11" x14ac:dyDescent="0.2">
      <c r="B26" s="551" t="s">
        <v>463</v>
      </c>
      <c r="C26" s="551"/>
      <c r="D26" s="551"/>
      <c r="F26" s="37" t="s">
        <v>2</v>
      </c>
      <c r="G26" s="35" t="s">
        <v>7</v>
      </c>
      <c r="H26" s="39">
        <v>1</v>
      </c>
      <c r="I26" s="39">
        <v>1</v>
      </c>
      <c r="J26" s="39">
        <v>0</v>
      </c>
      <c r="K26" s="39">
        <v>0</v>
      </c>
    </row>
    <row r="27" spans="2:11" x14ac:dyDescent="0.2">
      <c r="B27" s="1" t="s">
        <v>440</v>
      </c>
      <c r="C27" s="1" t="s">
        <v>12</v>
      </c>
      <c r="D27" s="1" t="s">
        <v>413</v>
      </c>
      <c r="F27" s="37" t="s">
        <v>2</v>
      </c>
      <c r="G27" s="38" t="s">
        <v>8</v>
      </c>
      <c r="H27" s="39">
        <v>1</v>
      </c>
      <c r="I27" s="39">
        <v>1</v>
      </c>
      <c r="J27" s="39">
        <v>1</v>
      </c>
      <c r="K27" s="39">
        <v>0</v>
      </c>
    </row>
    <row r="28" spans="2:11" x14ac:dyDescent="0.2">
      <c r="B28" s="1" t="str">
        <f>TabelUtama!L3</f>
        <v>Rektor</v>
      </c>
      <c r="C28" s="2">
        <v>6</v>
      </c>
      <c r="D28" s="2">
        <v>1</v>
      </c>
      <c r="F28" s="37" t="s">
        <v>3</v>
      </c>
      <c r="G28" s="35" t="s">
        <v>7</v>
      </c>
      <c r="H28" s="39">
        <v>1</v>
      </c>
      <c r="I28" s="39">
        <v>1</v>
      </c>
      <c r="J28" s="39">
        <v>0</v>
      </c>
      <c r="K28" s="39">
        <v>0</v>
      </c>
    </row>
    <row r="29" spans="2:11" x14ac:dyDescent="0.2">
      <c r="B29" s="1" t="str">
        <f>TabelUtama!L4</f>
        <v>Pembantu Rektor</v>
      </c>
      <c r="C29" s="2">
        <v>5</v>
      </c>
      <c r="D29" s="2">
        <v>1</v>
      </c>
      <c r="F29" s="37" t="s">
        <v>3</v>
      </c>
      <c r="G29" s="38" t="s">
        <v>8</v>
      </c>
      <c r="H29" s="39">
        <v>1</v>
      </c>
      <c r="I29" s="39">
        <v>1</v>
      </c>
      <c r="J29" s="39">
        <v>1</v>
      </c>
      <c r="K29" s="39">
        <v>1</v>
      </c>
    </row>
    <row r="30" spans="2:11" x14ac:dyDescent="0.2">
      <c r="B30" s="1" t="str">
        <f>TabelUtama!L5</f>
        <v>Wakil Rektor</v>
      </c>
      <c r="C30" s="2">
        <v>5</v>
      </c>
      <c r="D30" s="2">
        <v>1</v>
      </c>
      <c r="F30" s="37" t="s">
        <v>4</v>
      </c>
      <c r="G30" s="35" t="s">
        <v>7</v>
      </c>
      <c r="H30" s="39">
        <v>1</v>
      </c>
      <c r="I30" s="39">
        <v>1</v>
      </c>
      <c r="J30" s="39">
        <v>0</v>
      </c>
      <c r="K30" s="39">
        <v>0</v>
      </c>
    </row>
    <row r="31" spans="2:11" x14ac:dyDescent="0.2">
      <c r="B31" s="1" t="str">
        <f>TabelUtama!L6</f>
        <v>Dekan</v>
      </c>
      <c r="C31" s="2">
        <v>5</v>
      </c>
      <c r="D31" s="2">
        <v>1</v>
      </c>
      <c r="F31" s="37" t="s">
        <v>4</v>
      </c>
      <c r="G31" s="38" t="s">
        <v>8</v>
      </c>
      <c r="H31" s="39">
        <v>1</v>
      </c>
      <c r="I31" s="39">
        <v>1</v>
      </c>
      <c r="J31" s="39">
        <v>1</v>
      </c>
      <c r="K31" s="39">
        <v>1</v>
      </c>
    </row>
    <row r="32" spans="2:11" x14ac:dyDescent="0.2">
      <c r="B32" s="1" t="str">
        <f>TabelUtama!L7</f>
        <v>Direktur Pasca Sarjana</v>
      </c>
      <c r="C32" s="2">
        <v>5</v>
      </c>
      <c r="D32" s="2">
        <v>1</v>
      </c>
      <c r="F32" s="37" t="s">
        <v>5</v>
      </c>
      <c r="G32" s="38" t="s">
        <v>8</v>
      </c>
      <c r="H32" s="39">
        <v>1</v>
      </c>
      <c r="I32" s="39">
        <v>1</v>
      </c>
      <c r="J32" s="39">
        <v>1</v>
      </c>
      <c r="K32" s="39">
        <v>1</v>
      </c>
    </row>
    <row r="33" spans="2:13" x14ac:dyDescent="0.2">
      <c r="B33" s="1" t="str">
        <f>TabelUtama!L8</f>
        <v>Ketua Lembaga</v>
      </c>
      <c r="C33" s="2">
        <v>5</v>
      </c>
      <c r="D33" s="2">
        <v>1</v>
      </c>
    </row>
    <row r="34" spans="2:13" x14ac:dyDescent="0.2">
      <c r="B34" s="1" t="str">
        <f>TabelUtama!L9</f>
        <v>Ketua Sekolah Tinggi</v>
      </c>
      <c r="C34" s="2">
        <v>4</v>
      </c>
      <c r="D34" s="2">
        <v>1</v>
      </c>
      <c r="F34" s="551" t="s">
        <v>396</v>
      </c>
      <c r="G34" s="551"/>
      <c r="H34" s="551"/>
      <c r="I34" s="551"/>
      <c r="K34" s="551" t="s">
        <v>400</v>
      </c>
      <c r="L34" s="551"/>
      <c r="M34" s="551"/>
    </row>
    <row r="35" spans="2:13" x14ac:dyDescent="0.2">
      <c r="B35" s="1" t="str">
        <f>TabelUtama!L10</f>
        <v>Pembantu Dekan</v>
      </c>
      <c r="C35" s="2">
        <v>4</v>
      </c>
      <c r="D35" s="2">
        <v>1</v>
      </c>
      <c r="F35" s="1" t="s">
        <v>380</v>
      </c>
      <c r="G35" s="1" t="s">
        <v>377</v>
      </c>
      <c r="H35" s="1" t="s">
        <v>12</v>
      </c>
      <c r="I35" s="1" t="s">
        <v>395</v>
      </c>
      <c r="K35" s="1" t="s">
        <v>379</v>
      </c>
      <c r="L35" s="1" t="s">
        <v>12</v>
      </c>
      <c r="M35" s="1" t="s">
        <v>395</v>
      </c>
    </row>
    <row r="36" spans="2:13" x14ac:dyDescent="0.2">
      <c r="B36" s="1" t="str">
        <f>TabelUtama!L11</f>
        <v>Asisten Direktur Pasca Sarjana</v>
      </c>
      <c r="C36" s="2">
        <v>4</v>
      </c>
      <c r="D36" s="2">
        <v>1</v>
      </c>
      <c r="F36" s="1" t="s">
        <v>381</v>
      </c>
      <c r="G36" s="1" t="s">
        <v>383</v>
      </c>
      <c r="H36" s="2">
        <v>8</v>
      </c>
      <c r="I36" s="2">
        <v>4</v>
      </c>
      <c r="K36" s="1" t="s">
        <v>385</v>
      </c>
      <c r="L36" s="2">
        <v>1</v>
      </c>
      <c r="M36" s="2">
        <v>4</v>
      </c>
    </row>
    <row r="37" spans="2:13" x14ac:dyDescent="0.2">
      <c r="B37" s="1" t="str">
        <f>TabelUtama!L12</f>
        <v>Direktur Politeknik</v>
      </c>
      <c r="C37" s="2">
        <v>4</v>
      </c>
      <c r="D37" s="2">
        <v>1</v>
      </c>
      <c r="F37" s="1" t="s">
        <v>216</v>
      </c>
      <c r="G37" s="1" t="s">
        <v>383</v>
      </c>
      <c r="H37" s="2">
        <v>3</v>
      </c>
      <c r="I37" s="2">
        <v>6</v>
      </c>
      <c r="K37" s="1" t="s">
        <v>386</v>
      </c>
      <c r="L37" s="2">
        <v>0.5</v>
      </c>
      <c r="M37" s="2">
        <v>8</v>
      </c>
    </row>
    <row r="38" spans="2:13" x14ac:dyDescent="0.2">
      <c r="B38" s="1" t="str">
        <f>TabelUtama!L13</f>
        <v>Pembantu Ketua Sekolah Tinggi</v>
      </c>
      <c r="C38" s="2">
        <v>4</v>
      </c>
      <c r="D38" s="2">
        <v>1</v>
      </c>
      <c r="F38" s="1" t="s">
        <v>217</v>
      </c>
      <c r="G38" s="1" t="s">
        <v>383</v>
      </c>
      <c r="H38" s="2">
        <v>1</v>
      </c>
      <c r="I38" s="2">
        <v>8</v>
      </c>
      <c r="K38" s="1" t="s">
        <v>387</v>
      </c>
      <c r="L38" s="2">
        <v>0.5</v>
      </c>
      <c r="M38" s="2">
        <v>8</v>
      </c>
    </row>
    <row r="39" spans="2:13" x14ac:dyDescent="0.2">
      <c r="B39" s="1" t="str">
        <f>TabelUtama!L14</f>
        <v>Pembantu Direktur Politeknik</v>
      </c>
      <c r="C39" s="2">
        <v>4</v>
      </c>
      <c r="D39" s="2">
        <v>1</v>
      </c>
      <c r="F39" s="1" t="s">
        <v>382</v>
      </c>
      <c r="G39" s="1" t="s">
        <v>383</v>
      </c>
      <c r="H39" s="2">
        <v>1</v>
      </c>
      <c r="I39" s="2">
        <v>10</v>
      </c>
    </row>
    <row r="40" spans="2:13" x14ac:dyDescent="0.2">
      <c r="B40" s="1" t="str">
        <f>TabelUtama!L15</f>
        <v>Direktur Akademi</v>
      </c>
      <c r="C40" s="2">
        <v>4</v>
      </c>
      <c r="D40" s="2">
        <v>1</v>
      </c>
      <c r="F40" s="1" t="s">
        <v>381</v>
      </c>
      <c r="G40" s="1" t="s">
        <v>384</v>
      </c>
      <c r="H40" s="2">
        <v>6</v>
      </c>
      <c r="I40" s="2">
        <v>4</v>
      </c>
    </row>
    <row r="41" spans="2:13" x14ac:dyDescent="0.2">
      <c r="B41" s="1" t="str">
        <f>TabelUtama!L16</f>
        <v>Pembantu Direktur Akademi</v>
      </c>
      <c r="C41" s="2">
        <v>3</v>
      </c>
      <c r="D41" s="2">
        <v>1</v>
      </c>
      <c r="F41" s="1" t="s">
        <v>216</v>
      </c>
      <c r="G41" s="1" t="s">
        <v>384</v>
      </c>
      <c r="H41" s="2">
        <v>2</v>
      </c>
      <c r="I41" s="2">
        <v>6</v>
      </c>
    </row>
    <row r="42" spans="2:13" x14ac:dyDescent="0.2">
      <c r="B42" s="1" t="str">
        <f>TabelUtama!L17</f>
        <v>Ketua Jurusan/Bagian (Universitas)</v>
      </c>
      <c r="C42" s="2">
        <v>3</v>
      </c>
      <c r="D42" s="2">
        <v>1</v>
      </c>
      <c r="F42" s="1" t="s">
        <v>217</v>
      </c>
      <c r="G42" s="1" t="s">
        <v>384</v>
      </c>
      <c r="H42" s="2">
        <v>0.5</v>
      </c>
      <c r="I42" s="2">
        <v>8</v>
      </c>
    </row>
    <row r="43" spans="2:13" x14ac:dyDescent="0.2">
      <c r="B43" s="1" t="str">
        <f>TabelUtama!L18</f>
        <v>Ketua Jurusan/Bagian (Institut)</v>
      </c>
      <c r="C43" s="2">
        <v>3</v>
      </c>
      <c r="D43" s="2">
        <v>1</v>
      </c>
      <c r="F43" s="1" t="s">
        <v>382</v>
      </c>
      <c r="G43" s="1" t="s">
        <v>384</v>
      </c>
      <c r="H43" s="2">
        <v>0.5</v>
      </c>
      <c r="I43" s="2">
        <v>10</v>
      </c>
    </row>
    <row r="44" spans="2:13" x14ac:dyDescent="0.2">
      <c r="B44" s="1" t="str">
        <f>TabelUtama!L19</f>
        <v>Ketua Jurusan/Bagian (Sekolah Tinggi)</v>
      </c>
      <c r="C44" s="2">
        <v>3</v>
      </c>
      <c r="D44" s="2">
        <v>1</v>
      </c>
    </row>
    <row r="45" spans="2:13" x14ac:dyDescent="0.2">
      <c r="B45" s="1" t="str">
        <f>TabelUtama!L20</f>
        <v>Ketua Jurusan (Politeknik)</v>
      </c>
      <c r="C45" s="2">
        <v>3</v>
      </c>
      <c r="D45" s="2">
        <v>1</v>
      </c>
      <c r="F45" s="551" t="s">
        <v>398</v>
      </c>
      <c r="G45" s="551"/>
      <c r="H45" s="551"/>
      <c r="I45" s="551"/>
      <c r="J45" s="551"/>
      <c r="K45" s="551"/>
      <c r="L45" s="551"/>
    </row>
    <row r="46" spans="2:13" x14ac:dyDescent="0.2">
      <c r="B46" s="1" t="str">
        <f>TabelUtama!L21</f>
        <v>Ketua Jurusan (Akademi)</v>
      </c>
      <c r="C46" s="2">
        <v>3</v>
      </c>
      <c r="D46" s="2">
        <v>1</v>
      </c>
      <c r="F46" s="42" t="s">
        <v>0</v>
      </c>
      <c r="G46" s="42" t="s">
        <v>6</v>
      </c>
      <c r="H46" s="42" t="s">
        <v>377</v>
      </c>
      <c r="I46" s="42" t="s">
        <v>382</v>
      </c>
      <c r="J46" s="42" t="s">
        <v>217</v>
      </c>
      <c r="K46" s="42" t="s">
        <v>216</v>
      </c>
      <c r="L46" s="43" t="s">
        <v>381</v>
      </c>
    </row>
    <row r="47" spans="2:13" x14ac:dyDescent="0.2">
      <c r="B47" s="1" t="str">
        <f>TabelUtama!L22</f>
        <v>Sekretaris Jurusan/Bagian (Universitas)</v>
      </c>
      <c r="C47" s="2">
        <v>3</v>
      </c>
      <c r="D47" s="2">
        <v>1</v>
      </c>
      <c r="F47" s="40" t="s">
        <v>1</v>
      </c>
      <c r="G47" s="40" t="s">
        <v>7</v>
      </c>
      <c r="H47" s="40" t="s">
        <v>383</v>
      </c>
      <c r="I47" s="41">
        <v>0</v>
      </c>
      <c r="J47" s="41">
        <v>0</v>
      </c>
      <c r="K47" s="41">
        <v>0</v>
      </c>
      <c r="L47" s="41">
        <v>0</v>
      </c>
    </row>
    <row r="48" spans="2:13" x14ac:dyDescent="0.2">
      <c r="B48" s="1" t="str">
        <f>TabelUtama!L23</f>
        <v>Sekretaris Jurusan/Bagian (Institut)</v>
      </c>
      <c r="C48" s="2">
        <v>3</v>
      </c>
      <c r="D48" s="2">
        <v>1</v>
      </c>
      <c r="F48" s="40" t="s">
        <v>1</v>
      </c>
      <c r="G48" s="40" t="s">
        <v>7</v>
      </c>
      <c r="H48" s="40" t="s">
        <v>384</v>
      </c>
      <c r="I48" s="41">
        <v>0</v>
      </c>
      <c r="J48" s="41">
        <v>0</v>
      </c>
      <c r="K48" s="41">
        <v>0</v>
      </c>
      <c r="L48" s="41">
        <v>0</v>
      </c>
    </row>
    <row r="49" spans="2:12" x14ac:dyDescent="0.2">
      <c r="B49" s="1" t="str">
        <f>TabelUtama!L24</f>
        <v>Sekretaris Jurusan/Bagian (Sekolah Tinggi)</v>
      </c>
      <c r="C49" s="2">
        <v>3</v>
      </c>
      <c r="D49" s="2">
        <v>1</v>
      </c>
      <c r="F49" s="40" t="s">
        <v>1</v>
      </c>
      <c r="G49" s="40" t="s">
        <v>8</v>
      </c>
      <c r="H49" s="40" t="s">
        <v>383</v>
      </c>
      <c r="I49" s="41">
        <v>0</v>
      </c>
      <c r="J49" s="41">
        <v>0</v>
      </c>
      <c r="K49" s="41">
        <v>0</v>
      </c>
      <c r="L49" s="41">
        <v>0</v>
      </c>
    </row>
    <row r="50" spans="2:12" x14ac:dyDescent="0.2">
      <c r="B50" s="1" t="str">
        <f>TabelUtama!L25</f>
        <v>Sekretaris Jurusan (Politeknik)</v>
      </c>
      <c r="C50" s="2">
        <v>3</v>
      </c>
      <c r="D50" s="2">
        <v>1</v>
      </c>
      <c r="F50" s="40" t="s">
        <v>1</v>
      </c>
      <c r="G50" s="40" t="s">
        <v>8</v>
      </c>
      <c r="H50" s="40" t="s">
        <v>384</v>
      </c>
      <c r="I50" s="41">
        <v>0</v>
      </c>
      <c r="J50" s="41">
        <v>0</v>
      </c>
      <c r="K50" s="41">
        <v>0</v>
      </c>
      <c r="L50" s="41">
        <v>0</v>
      </c>
    </row>
    <row r="51" spans="2:12" x14ac:dyDescent="0.2">
      <c r="B51" s="1" t="str">
        <f>TabelUtama!L26</f>
        <v>Sekretaris Jurusan (Akademi)</v>
      </c>
      <c r="C51" s="2">
        <v>3</v>
      </c>
      <c r="D51" s="2">
        <v>1</v>
      </c>
      <c r="F51" s="44" t="s">
        <v>2</v>
      </c>
      <c r="G51" s="40" t="s">
        <v>7</v>
      </c>
      <c r="H51" s="40" t="s">
        <v>383</v>
      </c>
      <c r="I51" s="41">
        <v>1</v>
      </c>
      <c r="J51" s="41">
        <v>1</v>
      </c>
      <c r="K51" s="41">
        <v>0</v>
      </c>
      <c r="L51" s="41">
        <v>0</v>
      </c>
    </row>
    <row r="52" spans="2:12" x14ac:dyDescent="0.2">
      <c r="B52" s="1" t="str">
        <f>TabelUtama!L27</f>
        <v>Kepala Laboratorium (Bengkel)</v>
      </c>
      <c r="C52" s="2">
        <v>3</v>
      </c>
      <c r="D52" s="2">
        <v>1</v>
      </c>
      <c r="F52" s="44" t="s">
        <v>2</v>
      </c>
      <c r="G52" s="40" t="s">
        <v>7</v>
      </c>
      <c r="H52" s="40" t="s">
        <v>384</v>
      </c>
      <c r="I52" s="41">
        <v>0.5</v>
      </c>
      <c r="J52" s="41">
        <v>0.5</v>
      </c>
      <c r="K52" s="41">
        <v>0</v>
      </c>
      <c r="L52" s="41">
        <v>0</v>
      </c>
    </row>
    <row r="53" spans="2:12" x14ac:dyDescent="0.2">
      <c r="F53" s="44" t="s">
        <v>2</v>
      </c>
      <c r="G53" s="40" t="s">
        <v>8</v>
      </c>
      <c r="H53" s="40" t="s">
        <v>383</v>
      </c>
      <c r="I53" s="41">
        <v>1</v>
      </c>
      <c r="J53" s="41">
        <v>1</v>
      </c>
      <c r="K53" s="41">
        <v>0</v>
      </c>
      <c r="L53" s="41">
        <v>0</v>
      </c>
    </row>
    <row r="54" spans="2:12" x14ac:dyDescent="0.2">
      <c r="B54" s="551" t="s">
        <v>419</v>
      </c>
      <c r="C54" s="551"/>
      <c r="D54" s="551"/>
      <c r="F54" s="44" t="s">
        <v>2</v>
      </c>
      <c r="G54" s="40" t="s">
        <v>8</v>
      </c>
      <c r="H54" s="40" t="s">
        <v>384</v>
      </c>
      <c r="I54" s="41">
        <v>0.5</v>
      </c>
      <c r="J54" s="41">
        <v>0.5</v>
      </c>
      <c r="K54" s="41">
        <v>2</v>
      </c>
      <c r="L54" s="41">
        <v>0</v>
      </c>
    </row>
    <row r="55" spans="2:12" x14ac:dyDescent="0.2">
      <c r="B55" s="2" t="s">
        <v>414</v>
      </c>
      <c r="C55" s="2" t="s">
        <v>12</v>
      </c>
      <c r="D55" s="2" t="s">
        <v>413</v>
      </c>
      <c r="F55" s="44" t="s">
        <v>3</v>
      </c>
      <c r="G55" s="40" t="s">
        <v>7</v>
      </c>
      <c r="H55" s="40" t="s">
        <v>383</v>
      </c>
      <c r="I55" s="41">
        <v>1</v>
      </c>
      <c r="J55" s="41">
        <v>1</v>
      </c>
      <c r="K55" s="41">
        <v>0</v>
      </c>
      <c r="L55" s="41">
        <v>0</v>
      </c>
    </row>
    <row r="56" spans="2:12" x14ac:dyDescent="0.2">
      <c r="B56" s="2" t="s">
        <v>415</v>
      </c>
      <c r="C56" s="2">
        <v>1</v>
      </c>
      <c r="D56" s="2">
        <v>1</v>
      </c>
      <c r="F56" s="44" t="s">
        <v>3</v>
      </c>
      <c r="G56" s="40" t="s">
        <v>7</v>
      </c>
      <c r="H56" s="40" t="s">
        <v>384</v>
      </c>
      <c r="I56" s="41">
        <v>0.5</v>
      </c>
      <c r="J56" s="41">
        <v>0.5</v>
      </c>
      <c r="K56" s="41">
        <v>0</v>
      </c>
      <c r="L56" s="41">
        <v>0</v>
      </c>
    </row>
    <row r="57" spans="2:12" x14ac:dyDescent="0.2">
      <c r="B57" s="2" t="s">
        <v>416</v>
      </c>
      <c r="C57" s="2">
        <v>1</v>
      </c>
      <c r="D57" s="2">
        <v>1</v>
      </c>
      <c r="F57" s="44" t="s">
        <v>3</v>
      </c>
      <c r="G57" s="40" t="s">
        <v>8</v>
      </c>
      <c r="H57" s="40" t="s">
        <v>383</v>
      </c>
      <c r="I57" s="41">
        <v>1</v>
      </c>
      <c r="J57" s="41">
        <v>1</v>
      </c>
      <c r="K57" s="41">
        <v>3</v>
      </c>
      <c r="L57" s="41">
        <v>0</v>
      </c>
    </row>
    <row r="58" spans="2:12" x14ac:dyDescent="0.2">
      <c r="B58" s="2" t="s">
        <v>412</v>
      </c>
      <c r="C58" s="2">
        <v>2</v>
      </c>
      <c r="D58" s="2">
        <v>2</v>
      </c>
      <c r="F58" s="44" t="s">
        <v>3</v>
      </c>
      <c r="G58" s="40" t="s">
        <v>8</v>
      </c>
      <c r="H58" s="40" t="s">
        <v>384</v>
      </c>
      <c r="I58" s="41">
        <v>0.5</v>
      </c>
      <c r="J58" s="41">
        <v>0.5</v>
      </c>
      <c r="K58" s="41">
        <v>2</v>
      </c>
      <c r="L58" s="41">
        <v>6</v>
      </c>
    </row>
    <row r="59" spans="2:12" x14ac:dyDescent="0.2">
      <c r="B59" s="2" t="s">
        <v>417</v>
      </c>
      <c r="C59" s="2">
        <v>2</v>
      </c>
      <c r="D59" s="2">
        <v>1</v>
      </c>
      <c r="F59" s="44" t="s">
        <v>4</v>
      </c>
      <c r="G59" s="40" t="s">
        <v>7</v>
      </c>
      <c r="H59" s="40" t="s">
        <v>383</v>
      </c>
      <c r="I59" s="41">
        <v>1</v>
      </c>
      <c r="J59" s="41">
        <v>1</v>
      </c>
      <c r="K59" s="41">
        <v>0</v>
      </c>
      <c r="L59" s="41">
        <v>0</v>
      </c>
    </row>
    <row r="60" spans="2:12" x14ac:dyDescent="0.2">
      <c r="B60" s="2" t="s">
        <v>418</v>
      </c>
      <c r="C60" s="2">
        <v>5</v>
      </c>
      <c r="D60" s="2">
        <v>2</v>
      </c>
      <c r="F60" s="44" t="s">
        <v>4</v>
      </c>
      <c r="G60" s="40" t="s">
        <v>7</v>
      </c>
      <c r="H60" s="40" t="s">
        <v>384</v>
      </c>
      <c r="I60" s="41">
        <v>0.5</v>
      </c>
      <c r="J60" s="41">
        <v>0.5</v>
      </c>
      <c r="K60" s="41">
        <v>0</v>
      </c>
      <c r="L60" s="41">
        <v>0</v>
      </c>
    </row>
    <row r="61" spans="2:12" x14ac:dyDescent="0.2">
      <c r="F61" s="44" t="s">
        <v>4</v>
      </c>
      <c r="G61" s="40" t="s">
        <v>8</v>
      </c>
      <c r="H61" s="40" t="s">
        <v>383</v>
      </c>
      <c r="I61" s="41">
        <v>1</v>
      </c>
      <c r="J61" s="41">
        <v>1</v>
      </c>
      <c r="K61" s="41">
        <v>3</v>
      </c>
      <c r="L61" s="41">
        <v>8</v>
      </c>
    </row>
    <row r="62" spans="2:12" x14ac:dyDescent="0.2">
      <c r="B62" s="551" t="s">
        <v>430</v>
      </c>
      <c r="C62" s="551"/>
      <c r="D62" s="551"/>
      <c r="F62" s="44" t="s">
        <v>4</v>
      </c>
      <c r="G62" s="40" t="s">
        <v>8</v>
      </c>
      <c r="H62" s="40" t="s">
        <v>384</v>
      </c>
      <c r="I62" s="41">
        <v>0.5</v>
      </c>
      <c r="J62" s="41">
        <v>0.5</v>
      </c>
      <c r="K62" s="41">
        <v>2</v>
      </c>
      <c r="L62" s="41">
        <v>6</v>
      </c>
    </row>
    <row r="63" spans="2:12" x14ac:dyDescent="0.2">
      <c r="B63" s="2" t="s">
        <v>414</v>
      </c>
      <c r="C63" s="2" t="s">
        <v>12</v>
      </c>
      <c r="D63" s="2" t="s">
        <v>413</v>
      </c>
      <c r="F63" s="44" t="s">
        <v>5</v>
      </c>
      <c r="G63" s="40" t="s">
        <v>8</v>
      </c>
      <c r="H63" s="40" t="s">
        <v>383</v>
      </c>
      <c r="I63" s="41">
        <v>1</v>
      </c>
      <c r="J63" s="41">
        <v>1</v>
      </c>
      <c r="K63" s="41">
        <v>3</v>
      </c>
      <c r="L63" s="41">
        <v>8</v>
      </c>
    </row>
    <row r="64" spans="2:12" x14ac:dyDescent="0.2">
      <c r="B64" s="1" t="s">
        <v>90</v>
      </c>
      <c r="C64" s="2">
        <v>20</v>
      </c>
      <c r="D64" s="2">
        <v>1</v>
      </c>
      <c r="F64" s="44" t="s">
        <v>5</v>
      </c>
      <c r="G64" s="40" t="s">
        <v>8</v>
      </c>
      <c r="H64" s="40" t="s">
        <v>384</v>
      </c>
      <c r="I64" s="41">
        <v>0.5</v>
      </c>
      <c r="J64" s="41">
        <v>0.5</v>
      </c>
      <c r="K64" s="41">
        <v>2</v>
      </c>
      <c r="L64" s="41">
        <v>6</v>
      </c>
    </row>
    <row r="65" spans="2:9" x14ac:dyDescent="0.2">
      <c r="B65" s="1" t="s">
        <v>423</v>
      </c>
      <c r="C65" s="2">
        <v>5</v>
      </c>
      <c r="D65" s="2">
        <v>1</v>
      </c>
    </row>
    <row r="66" spans="2:9" x14ac:dyDescent="0.2">
      <c r="B66" s="1" t="s">
        <v>424</v>
      </c>
      <c r="C66" s="2">
        <v>5</v>
      </c>
      <c r="D66" s="2">
        <v>1</v>
      </c>
      <c r="F66" s="551" t="s">
        <v>465</v>
      </c>
      <c r="G66" s="551"/>
      <c r="H66" s="551"/>
      <c r="I66" s="551"/>
    </row>
    <row r="67" spans="2:9" x14ac:dyDescent="0.2">
      <c r="B67" s="1" t="s">
        <v>425</v>
      </c>
      <c r="C67" s="2">
        <v>5</v>
      </c>
      <c r="D67" s="2">
        <v>1</v>
      </c>
      <c r="F67" s="1" t="s">
        <v>0</v>
      </c>
      <c r="G67" s="1" t="s">
        <v>414</v>
      </c>
      <c r="H67" s="1" t="s">
        <v>12</v>
      </c>
      <c r="I67" s="1" t="s">
        <v>395</v>
      </c>
    </row>
    <row r="68" spans="2:9" x14ac:dyDescent="0.2">
      <c r="B68" s="1" t="s">
        <v>426</v>
      </c>
      <c r="C68" s="2">
        <v>5</v>
      </c>
      <c r="D68" s="2">
        <v>1</v>
      </c>
      <c r="F68" s="1" t="s">
        <v>4</v>
      </c>
      <c r="G68" s="1" t="s">
        <v>112</v>
      </c>
      <c r="H68" s="2">
        <v>2</v>
      </c>
      <c r="I68" s="2">
        <v>1</v>
      </c>
    </row>
    <row r="69" spans="2:9" x14ac:dyDescent="0.2">
      <c r="B69" s="1" t="s">
        <v>427</v>
      </c>
      <c r="C69" s="2">
        <v>5</v>
      </c>
      <c r="D69" s="2">
        <v>1</v>
      </c>
      <c r="F69" s="1" t="s">
        <v>4</v>
      </c>
      <c r="G69" s="1" t="s">
        <v>109</v>
      </c>
      <c r="H69" s="2">
        <v>1</v>
      </c>
      <c r="I69" s="2">
        <v>1</v>
      </c>
    </row>
    <row r="70" spans="2:9" x14ac:dyDescent="0.2">
      <c r="B70" s="1" t="s">
        <v>428</v>
      </c>
      <c r="C70" s="2">
        <v>5</v>
      </c>
      <c r="D70" s="2">
        <v>1</v>
      </c>
      <c r="F70" s="1" t="s">
        <v>5</v>
      </c>
      <c r="G70" s="1" t="s">
        <v>112</v>
      </c>
      <c r="H70" s="2">
        <v>2</v>
      </c>
      <c r="I70" s="2">
        <v>1</v>
      </c>
    </row>
    <row r="71" spans="2:9" x14ac:dyDescent="0.2">
      <c r="B71" s="1" t="s">
        <v>429</v>
      </c>
      <c r="C71" s="2">
        <v>5</v>
      </c>
      <c r="D71" s="2">
        <v>1</v>
      </c>
      <c r="F71" s="1" t="s">
        <v>5</v>
      </c>
      <c r="G71" s="1" t="s">
        <v>109</v>
      </c>
      <c r="H71" s="2">
        <v>1</v>
      </c>
      <c r="I71" s="2">
        <v>1</v>
      </c>
    </row>
    <row r="73" spans="2:9" x14ac:dyDescent="0.2">
      <c r="B73" s="551" t="s">
        <v>471</v>
      </c>
      <c r="C73" s="551"/>
      <c r="F73" s="551" t="s">
        <v>466</v>
      </c>
      <c r="G73" s="551"/>
      <c r="H73" s="551"/>
      <c r="I73" s="551"/>
    </row>
    <row r="74" spans="2:9" x14ac:dyDescent="0.2">
      <c r="B74" s="1" t="s">
        <v>470</v>
      </c>
      <c r="C74" s="1" t="s">
        <v>12</v>
      </c>
      <c r="F74" s="1" t="s">
        <v>0</v>
      </c>
      <c r="G74" s="1" t="s">
        <v>414</v>
      </c>
      <c r="H74" s="1" t="s">
        <v>12</v>
      </c>
      <c r="I74" s="1" t="s">
        <v>395</v>
      </c>
    </row>
    <row r="75" spans="2:9" x14ac:dyDescent="0.2">
      <c r="B75" s="2">
        <v>0</v>
      </c>
      <c r="C75" s="1">
        <v>0</v>
      </c>
      <c r="F75" s="1" t="s">
        <v>4</v>
      </c>
      <c r="G75" s="1" t="s">
        <v>111</v>
      </c>
      <c r="H75" s="2">
        <v>5</v>
      </c>
      <c r="I75" s="2">
        <v>1</v>
      </c>
    </row>
    <row r="76" spans="2:9" x14ac:dyDescent="0.2">
      <c r="B76" s="2">
        <v>11</v>
      </c>
      <c r="C76" s="1">
        <v>0.5</v>
      </c>
      <c r="F76" s="1" t="s">
        <v>4</v>
      </c>
      <c r="G76" s="1" t="s">
        <v>112</v>
      </c>
      <c r="H76" s="2">
        <v>4</v>
      </c>
      <c r="I76" s="2">
        <v>1</v>
      </c>
    </row>
    <row r="77" spans="2:9" x14ac:dyDescent="0.2">
      <c r="B77" s="2">
        <v>31</v>
      </c>
      <c r="C77" s="1">
        <v>1</v>
      </c>
      <c r="F77" s="1" t="s">
        <v>5</v>
      </c>
      <c r="G77" s="1" t="s">
        <v>111</v>
      </c>
      <c r="H77" s="2">
        <v>5</v>
      </c>
      <c r="I77" s="2">
        <v>1</v>
      </c>
    </row>
    <row r="78" spans="2:9" x14ac:dyDescent="0.2">
      <c r="B78" s="2">
        <v>81</v>
      </c>
      <c r="C78" s="1">
        <v>2</v>
      </c>
      <c r="F78" s="1" t="s">
        <v>5</v>
      </c>
      <c r="G78" s="1" t="s">
        <v>112</v>
      </c>
      <c r="H78" s="2">
        <v>4</v>
      </c>
      <c r="I78" s="2">
        <v>1</v>
      </c>
    </row>
    <row r="79" spans="2:9" x14ac:dyDescent="0.2">
      <c r="B79" s="2">
        <v>161</v>
      </c>
      <c r="C79" s="1">
        <v>3</v>
      </c>
    </row>
    <row r="80" spans="2:9" x14ac:dyDescent="0.2">
      <c r="B80" s="2">
        <v>481</v>
      </c>
      <c r="C80" s="1">
        <v>6</v>
      </c>
    </row>
    <row r="81" spans="2:12" x14ac:dyDescent="0.2">
      <c r="B81" s="2">
        <v>641</v>
      </c>
      <c r="C81" s="1">
        <v>9</v>
      </c>
      <c r="F81" s="395"/>
      <c r="G81" s="395"/>
      <c r="H81" s="395"/>
      <c r="I81" s="395"/>
      <c r="J81" s="395"/>
      <c r="K81" s="395"/>
      <c r="L81" s="395"/>
    </row>
    <row r="82" spans="2:12" x14ac:dyDescent="0.2">
      <c r="B82" s="2">
        <v>961</v>
      </c>
      <c r="C82" s="1">
        <v>15</v>
      </c>
      <c r="F82" s="1" t="s">
        <v>813</v>
      </c>
      <c r="G82" s="1" t="s">
        <v>814</v>
      </c>
      <c r="H82" s="1" t="s">
        <v>815</v>
      </c>
      <c r="I82" s="1" t="s">
        <v>824</v>
      </c>
      <c r="J82" s="1" t="s">
        <v>826</v>
      </c>
      <c r="K82" s="1" t="s">
        <v>825</v>
      </c>
      <c r="L82" s="1" t="s">
        <v>827</v>
      </c>
    </row>
    <row r="83" spans="2:12" x14ac:dyDescent="0.2">
      <c r="F83" s="1" t="s">
        <v>816</v>
      </c>
      <c r="G83" s="396">
        <v>100</v>
      </c>
      <c r="H83" s="396">
        <v>76</v>
      </c>
      <c r="I83" s="397">
        <f>TabTurTubel[[#This Row],[SkpAtas]]-TabTurTubel[[#This Row],[SkpBawah]]</f>
        <v>24</v>
      </c>
      <c r="J83" s="396">
        <v>4</v>
      </c>
      <c r="K83" s="396">
        <v>3</v>
      </c>
      <c r="L83" s="397">
        <f>((TabTurTubel[[#This Row],[IpAtas]]-TabTurTubel[[#This Row],[IpBawah]])-0.01)*100</f>
        <v>99</v>
      </c>
    </row>
    <row r="84" spans="2:12" x14ac:dyDescent="0.2">
      <c r="F84" s="1" t="s">
        <v>817</v>
      </c>
      <c r="G84" s="396">
        <v>75</v>
      </c>
      <c r="H84" s="396">
        <v>0</v>
      </c>
      <c r="I84" s="397">
        <f>TabTurTubel[[#This Row],[SkpAtas]]-TabTurTubel[[#This Row],[SkpBawah]]</f>
        <v>75</v>
      </c>
      <c r="J84" s="396">
        <v>2.99</v>
      </c>
      <c r="K84" s="396">
        <v>0</v>
      </c>
      <c r="L84" s="397">
        <f>((TabTurTubel[[#This Row],[IpAtas]]-TabTurTubel[[#This Row],[IpBawah]])-0.01)*100</f>
        <v>298.00000000000006</v>
      </c>
    </row>
  </sheetData>
  <sortState xmlns:xlrd2="http://schemas.microsoft.com/office/spreadsheetml/2017/richdata2" ref="B74:C80">
    <sortCondition ref="B73:B79"/>
  </sortState>
  <mergeCells count="15">
    <mergeCell ref="F66:I66"/>
    <mergeCell ref="F73:I73"/>
    <mergeCell ref="B62:D62"/>
    <mergeCell ref="B54:D54"/>
    <mergeCell ref="B2:C2"/>
    <mergeCell ref="B19:C19"/>
    <mergeCell ref="F2:K2"/>
    <mergeCell ref="K34:M34"/>
    <mergeCell ref="F45:L45"/>
    <mergeCell ref="F22:K22"/>
    <mergeCell ref="F34:I34"/>
    <mergeCell ref="F14:H14"/>
    <mergeCell ref="B14:D14"/>
    <mergeCell ref="B26:D26"/>
    <mergeCell ref="B73:C73"/>
  </mergeCells>
  <dataValidations count="9">
    <dataValidation type="list" allowBlank="1" showInputMessage="1" showErrorMessage="1" sqref="B3:B12 F3:F12 F15:F20 F24:F32 F47:F64 F68:F71 F75:F78" xr:uid="{00000000-0002-0000-0B00-000000000000}">
      <formula1>TabutJabatanIsi</formula1>
    </dataValidation>
    <dataValidation type="list" allowBlank="1" showInputMessage="1" showErrorMessage="1" sqref="B20:B24 G3:G12 G24:G32 G47:G64" xr:uid="{00000000-0002-0000-0B00-000001000000}">
      <formula1>TabutPendidikanIsi</formula1>
    </dataValidation>
    <dataValidation type="list" allowBlank="1" showInputMessage="1" showErrorMessage="1" sqref="H3:K3" xr:uid="{00000000-0002-0000-0B00-000002000000}">
      <formula1>TabutProdiIsi</formula1>
    </dataValidation>
    <dataValidation type="list" allowBlank="1" showInputMessage="1" showErrorMessage="1" sqref="F36:F43" xr:uid="{00000000-0002-0000-0B00-000003000000}">
      <formula1>TabutBimbinganIsi</formula1>
    </dataValidation>
    <dataValidation type="list" allowBlank="1" showInputMessage="1" showErrorMessage="1" sqref="G36:G43 H47:H64" xr:uid="{00000000-0002-0000-0B00-000004000000}">
      <formula1>TabutPembimbingIsi</formula1>
    </dataValidation>
    <dataValidation type="list" allowBlank="1" showInputMessage="1" showErrorMessage="1" sqref="K36:K38" xr:uid="{00000000-0002-0000-0B00-000005000000}">
      <formula1>TabutPengujiIsi</formula1>
    </dataValidation>
    <dataValidation type="list" allowBlank="1" showInputMessage="1" showErrorMessage="1" sqref="B64:B71" xr:uid="{00000000-0002-0000-0B00-000006000000}">
      <formula1>TabutBahanAjarIsi</formula1>
    </dataValidation>
    <dataValidation type="list" allowBlank="1" showInputMessage="1" showErrorMessage="1" sqref="G68:G71" xr:uid="{00000000-0002-0000-0B00-000007000000}">
      <formula1>TabutPencangkokanIsi</formula1>
    </dataValidation>
    <dataValidation type="list" allowBlank="1" showInputMessage="1" showErrorMessage="1" sqref="G75:G78" xr:uid="{00000000-0002-0000-0B00-000008000000}">
      <formula1>TabutDetaseringIsi</formula1>
    </dataValidation>
  </dataValidations>
  <pageMargins left="0.7" right="0.7" top="0.75" bottom="0.75" header="0.3" footer="0.3"/>
  <pageSetup paperSize="5" orientation="portrait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O12"/>
  <sheetViews>
    <sheetView workbookViewId="0">
      <selection activeCell="X20" sqref="X20"/>
    </sheetView>
  </sheetViews>
  <sheetFormatPr baseColWidth="10" defaultColWidth="9.1640625" defaultRowHeight="15" x14ac:dyDescent="0.2"/>
  <cols>
    <col min="1" max="1" width="1.83203125" style="1" customWidth="1"/>
    <col min="2" max="2" width="17" style="1" customWidth="1"/>
    <col min="3" max="3" width="15.5" style="1" customWidth="1"/>
    <col min="4" max="8" width="6.5" style="1" hidden="1" customWidth="1"/>
    <col min="9" max="9" width="15.5" style="1" customWidth="1"/>
    <col min="10" max="10" width="2.6640625" style="1" customWidth="1"/>
    <col min="11" max="11" width="23.83203125" style="1" customWidth="1"/>
    <col min="12" max="12" width="12" style="1" customWidth="1"/>
    <col min="13" max="16384" width="9.1640625" style="1"/>
  </cols>
  <sheetData>
    <row r="1" spans="1:15" x14ac:dyDescent="0.2">
      <c r="A1" s="408"/>
      <c r="B1" s="315" t="s">
        <v>843</v>
      </c>
    </row>
    <row r="2" spans="1:15" x14ac:dyDescent="0.2">
      <c r="B2" s="315"/>
    </row>
    <row r="3" spans="1:15" x14ac:dyDescent="0.2">
      <c r="I3" s="405" t="s">
        <v>834</v>
      </c>
      <c r="J3" s="2" t="s">
        <v>833</v>
      </c>
      <c r="K3" s="407"/>
      <c r="L3" s="407"/>
      <c r="M3" s="407"/>
      <c r="N3" s="407"/>
    </row>
    <row r="5" spans="1:15" ht="26.25" customHeight="1" x14ac:dyDescent="0.2">
      <c r="B5" s="398" t="s">
        <v>358</v>
      </c>
      <c r="C5" s="398" t="s">
        <v>829</v>
      </c>
      <c r="D5" s="398"/>
      <c r="E5" s="398"/>
      <c r="F5" s="398"/>
      <c r="G5" s="398"/>
      <c r="H5" s="398"/>
      <c r="I5" s="398" t="s">
        <v>830</v>
      </c>
      <c r="K5" s="251" t="s">
        <v>831</v>
      </c>
      <c r="L5" s="251"/>
    </row>
    <row r="6" spans="1:15" hidden="1" x14ac:dyDescent="0.2">
      <c r="B6" s="1" t="s">
        <v>358</v>
      </c>
      <c r="C6" s="1" t="s">
        <v>828</v>
      </c>
      <c r="D6" s="1" t="s">
        <v>821</v>
      </c>
      <c r="E6" s="1" t="s">
        <v>822</v>
      </c>
      <c r="F6" s="1" t="s">
        <v>823</v>
      </c>
      <c r="G6" s="1" t="s">
        <v>819</v>
      </c>
      <c r="H6" s="1" t="s">
        <v>818</v>
      </c>
      <c r="I6" s="1" t="s">
        <v>820</v>
      </c>
      <c r="K6" s="251"/>
      <c r="L6" s="251"/>
    </row>
    <row r="7" spans="1:15" hidden="1" x14ac:dyDescent="0.2">
      <c r="B7" s="399"/>
      <c r="C7" s="400"/>
      <c r="D7" s="274">
        <f t="array" ref="D7">SUMPRODUCT((TabTurTubel[Ambang]="Baik")*(TabTurTubel[IpAtas]))</f>
        <v>4</v>
      </c>
      <c r="E7" s="274">
        <f t="array" ref="E7">SUMPRODUCT((TabTurTubel[Ambang]="Baik")*(TabTurTubel[IpBawah]))</f>
        <v>3</v>
      </c>
      <c r="F7" s="274">
        <f t="array" ref="F7">SUMPRODUCT((TabTurTubel[Ambang]="Cukup")*(TabTurTubel[IpBawah]))</f>
        <v>0</v>
      </c>
      <c r="G7" s="401">
        <f t="array" ref="G7">SUMPRODUCT((TabTurTubel[Ambang]="Baik")*((TabTurTubel[SkpInterval]/TabTurTubel[IpInterval])*100))</f>
        <v>24.242424242424242</v>
      </c>
      <c r="H7" s="401">
        <f t="array" ref="H7">SUMPRODUCT((TabTurTubel[Ambang]="Cukup")*((TabTurTubel[SkpInterval]/TabTurTubel[IpInterval])*100))</f>
        <v>25.167785234899327</v>
      </c>
      <c r="I7" s="401">
        <f t="array" ref="I7">IF(TabTubelIsi[[#This Row],[Ip]]&lt;TabTubelIsi[[#This Row],[BaikBawahIp]],TabTubelIsi[[#This Row],[CukupInterval]]*(TabTubelIsi[[#This Row],[Ip]]-TabTubelIsi[[#This Row],[CukupBawahIp]]),76+(TabTubelIsi[[#This Row],[BaikInterval]]*(TabTubelIsi[[#This Row],[Ip]]-TabTubelIsi[[#This Row],[BaikBawahIp]])))</f>
        <v>0</v>
      </c>
      <c r="K7" s="251"/>
      <c r="L7" s="251"/>
    </row>
    <row r="8" spans="1:15" ht="24.75" customHeight="1" x14ac:dyDescent="0.2">
      <c r="B8" s="1" t="s">
        <v>361</v>
      </c>
      <c r="C8" s="402">
        <v>3.8</v>
      </c>
      <c r="D8" s="274">
        <f t="array" ref="D8">SUMPRODUCT((TabTurTubel[Ambang]="Baik")*(TabTurTubel[IpAtas]))</f>
        <v>4</v>
      </c>
      <c r="E8" s="274">
        <f t="array" ref="E8">SUMPRODUCT((TabTurTubel[Ambang]="Baik")*(TabTurTubel[IpBawah]))</f>
        <v>3</v>
      </c>
      <c r="F8" s="274">
        <f t="array" ref="F8">SUMPRODUCT((TabTurTubel[Ambang]="Cukup")*(TabTurTubel[IpBawah]))</f>
        <v>0</v>
      </c>
      <c r="G8" s="401">
        <f t="array" ref="G8">SUMPRODUCT((TabTurTubel[Ambang]="Baik")*((TabTurTubel[SkpInterval]/TabTurTubel[IpInterval])*100))</f>
        <v>24.242424242424242</v>
      </c>
      <c r="H8" s="401">
        <f t="array" ref="H8">SUMPRODUCT((TabTurTubel[Ambang]="Cukup")*((TabTurTubel[SkpInterval]/TabTurTubel[IpInterval])*100))</f>
        <v>25.167785234899327</v>
      </c>
      <c r="I8" s="401">
        <f t="array" ref="I8">IF(TabTubelIsi[[#This Row],[Ip]]&lt;TabTubelIsi[[#This Row],[BaikBawahIp]],TabTubelIsi[[#This Row],[CukupInterval]]*(TabTubelIsi[[#This Row],[Ip]]-TabTubelIsi[[#This Row],[CukupBawahIp]]),76+(TabTubelIsi[[#This Row],[BaikInterval]]*(TabTubelIsi[[#This Row],[Ip]]-TabTubelIsi[[#This Row],[BaikBawahIp]])))</f>
        <v>95.393939393939391</v>
      </c>
      <c r="K8" s="251" t="str">
        <f>TabelUtama!H3</f>
        <v>Semester 1</v>
      </c>
      <c r="L8" s="403">
        <f>SUMPRODUCT((TabTubelIsi[Semester]=$K8)*(TabTubelIsi[NilaiSKP]))</f>
        <v>95.393939393939391</v>
      </c>
    </row>
    <row r="9" spans="1:15" ht="24.75" customHeight="1" x14ac:dyDescent="0.2">
      <c r="B9" s="1" t="s">
        <v>362</v>
      </c>
      <c r="C9" s="402">
        <v>3</v>
      </c>
      <c r="D9" s="404">
        <f t="array" ref="D9">SUMPRODUCT((TabTurTubel[Ambang]="Baik")*(TabTurTubel[IpAtas]))</f>
        <v>4</v>
      </c>
      <c r="E9" s="404">
        <f t="array" ref="E9">SUMPRODUCT((TabTurTubel[Ambang]="Baik")*(TabTurTubel[IpBawah]))</f>
        <v>3</v>
      </c>
      <c r="F9" s="404">
        <f t="array" ref="F9">SUMPRODUCT((TabTurTubel[Ambang]="Cukup")*(TabTurTubel[IpBawah]))</f>
        <v>0</v>
      </c>
      <c r="G9" s="401">
        <f t="array" ref="G9">SUMPRODUCT((TabTurTubel[Ambang]="Baik")*((TabTurTubel[SkpInterval]/TabTurTubel[IpInterval])*100))</f>
        <v>24.242424242424242</v>
      </c>
      <c r="H9" s="401">
        <f t="array" ref="H9">SUMPRODUCT((TabTurTubel[Ambang]="Cukup")*((TabTurTubel[SkpInterval]/TabTurTubel[IpInterval])*100))</f>
        <v>25.167785234899327</v>
      </c>
      <c r="I9" s="401">
        <f t="array" ref="I9">IF(TabTubelIsi[[#This Row],[Ip]]&lt;TabTubelIsi[[#This Row],[BaikBawahIp]],TabTubelIsi[[#This Row],[CukupInterval]]*(TabTubelIsi[[#This Row],[Ip]]-TabTubelIsi[[#This Row],[CukupBawahIp]]),76+(TabTubelIsi[[#This Row],[BaikInterval]]*(TabTubelIsi[[#This Row],[Ip]]-TabTubelIsi[[#This Row],[BaikBawahIp]])))</f>
        <v>76</v>
      </c>
      <c r="K9" s="251" t="str">
        <f>TabelUtama!H4</f>
        <v>Semester 2</v>
      </c>
      <c r="L9" s="403">
        <f>SUMPRODUCT((TabTubelIsi[Semester]=$K9)*(TabTubelIsi[NilaiSKP]))</f>
        <v>76</v>
      </c>
    </row>
    <row r="10" spans="1:15" ht="24.75" customHeight="1" x14ac:dyDescent="0.2">
      <c r="K10" s="251" t="s">
        <v>832</v>
      </c>
      <c r="L10" s="403">
        <f>AVERAGE(L8:L9)</f>
        <v>85.696969696969688</v>
      </c>
    </row>
    <row r="12" spans="1:15" x14ac:dyDescent="0.2">
      <c r="K12" s="262" t="s">
        <v>721</v>
      </c>
      <c r="L12" s="241"/>
      <c r="M12" s="399"/>
      <c r="N12" s="399"/>
      <c r="O12" s="240"/>
    </row>
  </sheetData>
  <dataValidations count="1">
    <dataValidation type="list" allowBlank="1" showInputMessage="1" showErrorMessage="1" sqref="B7:B9" xr:uid="{00000000-0002-0000-0C00-000000000000}">
      <formula1>TabutKalenderIsi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"/>
  <sheetViews>
    <sheetView workbookViewId="0">
      <selection activeCell="K18" sqref="K18"/>
    </sheetView>
  </sheetViews>
  <sheetFormatPr baseColWidth="10" defaultColWidth="9.1640625" defaultRowHeight="15" x14ac:dyDescent="0.2"/>
  <cols>
    <col min="1" max="1" width="1.1640625" style="1" customWidth="1"/>
    <col min="2" max="2" width="11.6640625" style="1" customWidth="1"/>
    <col min="3" max="3" width="8.83203125" style="1" customWidth="1"/>
    <col min="4" max="4" width="29.6640625" style="1" customWidth="1"/>
    <col min="5" max="10" width="7.6640625" style="1" customWidth="1"/>
    <col min="11" max="11" width="12.6640625" style="1" customWidth="1"/>
    <col min="12" max="12" width="1.83203125" style="1" customWidth="1"/>
    <col min="13" max="13" width="12.83203125" style="1" customWidth="1"/>
    <col min="14" max="21" width="6.6640625" style="1" customWidth="1"/>
    <col min="22" max="16384" width="9.1640625" style="1"/>
  </cols>
  <sheetData>
    <row r="1" spans="1:21" x14ac:dyDescent="0.2">
      <c r="B1" s="26" t="s">
        <v>356</v>
      </c>
      <c r="C1" s="26"/>
      <c r="D1" s="27"/>
      <c r="E1" s="27"/>
      <c r="F1" s="27"/>
      <c r="G1" s="27"/>
      <c r="H1" s="27"/>
      <c r="I1" s="27"/>
      <c r="J1" s="27"/>
      <c r="K1" s="27"/>
    </row>
    <row r="2" spans="1:21" x14ac:dyDescent="0.2">
      <c r="B2" s="25" t="s">
        <v>72</v>
      </c>
      <c r="C2" s="27"/>
      <c r="D2" s="28"/>
      <c r="E2" s="28"/>
      <c r="F2" s="28"/>
      <c r="G2" s="28"/>
      <c r="H2" s="28"/>
      <c r="I2" s="28"/>
      <c r="J2" s="28"/>
      <c r="K2" s="28"/>
    </row>
    <row r="3" spans="1:21" x14ac:dyDescent="0.2">
      <c r="B3" s="315" t="str">
        <f>INDEX(TabRef2[],MATCH($B$2,TabRef2[Column3],0),4)</f>
        <v>Melaksanakan perkuliahan/tutorial/perkuliahan praktikum dan membimbing,menguji serta menyelenggarakan pendidikan di laboratorium, praktik keguruan, bengkel/studio/kebun percobaan/teknologi pengajaran dan praktik lapangan (setiap semester)</v>
      </c>
      <c r="C3" s="319"/>
      <c r="D3" s="319"/>
      <c r="E3" s="319"/>
      <c r="F3" s="319"/>
      <c r="G3" s="319"/>
      <c r="H3" s="319"/>
      <c r="I3" s="319"/>
      <c r="J3" s="319"/>
      <c r="K3" s="319"/>
    </row>
    <row r="4" spans="1:21" x14ac:dyDescent="0.2">
      <c r="A4" s="29"/>
    </row>
    <row r="5" spans="1:21" x14ac:dyDescent="0.2">
      <c r="A5" s="29"/>
      <c r="B5" s="553" t="s">
        <v>358</v>
      </c>
      <c r="C5" s="553" t="s">
        <v>472</v>
      </c>
      <c r="D5" s="553" t="s">
        <v>354</v>
      </c>
      <c r="E5" s="553"/>
      <c r="F5" s="553"/>
      <c r="G5" s="553"/>
      <c r="H5" s="553"/>
      <c r="I5" s="553" t="s">
        <v>477</v>
      </c>
      <c r="J5" s="553"/>
      <c r="K5" s="553" t="s">
        <v>372</v>
      </c>
      <c r="M5" s="243"/>
      <c r="N5" s="552" t="s">
        <v>479</v>
      </c>
      <c r="O5" s="552"/>
      <c r="P5" s="552"/>
      <c r="Q5" s="552"/>
      <c r="R5" s="552"/>
      <c r="S5" s="552"/>
      <c r="T5" s="552"/>
      <c r="U5" s="552"/>
    </row>
    <row r="6" spans="1:21" ht="16" x14ac:dyDescent="0.2">
      <c r="B6" s="553"/>
      <c r="C6" s="553"/>
      <c r="D6" s="64" t="s">
        <v>478</v>
      </c>
      <c r="E6" s="64" t="s">
        <v>473</v>
      </c>
      <c r="F6" s="64" t="s">
        <v>474</v>
      </c>
      <c r="G6" s="64" t="s">
        <v>475</v>
      </c>
      <c r="H6" s="64" t="s">
        <v>476</v>
      </c>
      <c r="I6" s="64" t="s">
        <v>405</v>
      </c>
      <c r="J6" s="64" t="s">
        <v>534</v>
      </c>
      <c r="K6" s="553"/>
      <c r="M6" s="244"/>
      <c r="N6" s="552" t="s">
        <v>401</v>
      </c>
      <c r="O6" s="552"/>
      <c r="P6" s="552"/>
      <c r="Q6" s="552"/>
      <c r="R6" s="552" t="s">
        <v>402</v>
      </c>
      <c r="S6" s="552"/>
      <c r="T6" s="552"/>
      <c r="U6" s="552"/>
    </row>
    <row r="7" spans="1:21" ht="15" hidden="1" customHeight="1" x14ac:dyDescent="0.2">
      <c r="B7" s="59" t="s">
        <v>722</v>
      </c>
      <c r="C7" s="59" t="s">
        <v>723</v>
      </c>
      <c r="D7" s="59" t="s">
        <v>724</v>
      </c>
      <c r="E7" s="59" t="s">
        <v>725</v>
      </c>
      <c r="F7" s="59" t="s">
        <v>726</v>
      </c>
      <c r="G7" s="59" t="s">
        <v>727</v>
      </c>
      <c r="H7" s="59" t="s">
        <v>728</v>
      </c>
      <c r="I7" s="59" t="s">
        <v>729</v>
      </c>
      <c r="J7" s="59" t="s">
        <v>730</v>
      </c>
      <c r="K7" s="59" t="s">
        <v>731</v>
      </c>
      <c r="M7" s="244"/>
      <c r="N7" s="238"/>
      <c r="O7" s="238"/>
      <c r="P7" s="238"/>
      <c r="Q7" s="238"/>
      <c r="R7" s="238"/>
      <c r="S7" s="238"/>
      <c r="T7" s="238"/>
      <c r="U7" s="238"/>
    </row>
    <row r="8" spans="1:21" hidden="1" x14ac:dyDescent="0.2">
      <c r="B8" s="258"/>
      <c r="C8" s="259"/>
      <c r="D8" s="259"/>
      <c r="E8" s="260"/>
      <c r="F8" s="260"/>
      <c r="G8" s="260"/>
      <c r="H8" s="236">
        <f>IF(AND(ISTEXT(Tab2A[[#This Row],[Col1]]),ISTEXT(Tab2A[[#This Row],[Col2]]),ISTEXT(Tab2A[[#This Row],[Col3]]),ISNUMBER(Tab2A[[#This Row],[Col4]]),ISNUMBER(Tab2A[[#This Row],[Col5]]),ISNUMBER(Tab2A[[#This Row],[Col6]])),(Tab2A[[#This Row],[Col4]]*Tab2A[[#This Row],[Col5]])/Tab2A[[#This Row],[Col6]],0)</f>
        <v>0</v>
      </c>
      <c r="I8" s="236">
        <f>IF(Tab2A[[#This Row],[Col7]]&gt;0,1,0)</f>
        <v>0</v>
      </c>
      <c r="J8" s="236">
        <f t="array" ref="J8">IFERROR(INDEX(TabTurKewenanganMengajar_2A1[[Diploma]:[Doktoral]],MATCH(1,(__pns_jabatan=TabTurKewenanganMengajar_2A1[Jabatan])*(__pns_pendidikan=TabTurKewenanganMengajar_2A1[Pendidikan]),0),MATCH(Tab2A[[#This Row],[Col2]],TabTurKewenanganMengajar_2A1[[#Headers],[Diploma]:[Doktoral]],0)),0)</f>
        <v>0</v>
      </c>
      <c r="K8" s="261"/>
      <c r="M8" s="244"/>
      <c r="N8" s="238"/>
      <c r="O8" s="238"/>
      <c r="P8" s="238"/>
      <c r="Q8" s="238"/>
      <c r="R8" s="238"/>
      <c r="S8" s="238"/>
      <c r="T8" s="238"/>
      <c r="U8" s="238"/>
    </row>
    <row r="9" spans="1:21" ht="16" x14ac:dyDescent="0.2">
      <c r="B9" s="234" t="s">
        <v>361</v>
      </c>
      <c r="C9" s="52" t="s">
        <v>11</v>
      </c>
      <c r="D9" s="246" t="s">
        <v>888</v>
      </c>
      <c r="E9" s="58">
        <v>3</v>
      </c>
      <c r="F9" s="58">
        <v>1</v>
      </c>
      <c r="G9" s="58">
        <v>1</v>
      </c>
      <c r="H9" s="236">
        <f>IF(AND(ISTEXT(Tab2A[[#This Row],[Col1]]),ISTEXT(Tab2A[[#This Row],[Col2]]),ISTEXT(Tab2A[[#This Row],[Col3]]),ISNUMBER(Tab2A[[#This Row],[Col4]]),ISNUMBER(Tab2A[[#This Row],[Col5]]),ISNUMBER(Tab2A[[#This Row],[Col6]])),(Tab2A[[#This Row],[Col4]]*Tab2A[[#This Row],[Col5]])/Tab2A[[#This Row],[Col6]],0)</f>
        <v>3</v>
      </c>
      <c r="I9" s="236">
        <f>IF(Tab2A[[#This Row],[Col7]]&gt;0,1,0)</f>
        <v>1</v>
      </c>
      <c r="J9" s="237">
        <f t="array" ref="J9">IFERROR(INDEX(TabTurKewenanganMengajar_2A1[[Diploma]:[Doktoral]],MATCH(1,(__pns_jabatan=TabTurKewenanganMengajar_2A1[Jabatan])*(__pns_pendidikan=TabTurKewenanganMengajar_2A1[Pendidikan]),0),MATCH(Tab2A[[#This Row],[Col2]],TabTurKewenanganMengajar_2A1[[#Headers],[Diploma]:[Doktoral]],0)),0)</f>
        <v>1</v>
      </c>
      <c r="K9" s="235" t="s">
        <v>370</v>
      </c>
      <c r="M9" s="245"/>
      <c r="N9" s="238" t="s">
        <v>480</v>
      </c>
      <c r="O9" s="238" t="s">
        <v>481</v>
      </c>
      <c r="P9" s="238" t="s">
        <v>482</v>
      </c>
      <c r="Q9" s="238" t="s">
        <v>12</v>
      </c>
      <c r="R9" s="238" t="s">
        <v>480</v>
      </c>
      <c r="S9" s="238" t="s">
        <v>481</v>
      </c>
      <c r="T9" s="238" t="s">
        <v>482</v>
      </c>
      <c r="U9" s="238" t="s">
        <v>12</v>
      </c>
    </row>
    <row r="10" spans="1:21" x14ac:dyDescent="0.2">
      <c r="B10" s="234" t="s">
        <v>361</v>
      </c>
      <c r="C10" s="52" t="s">
        <v>11</v>
      </c>
      <c r="D10" s="52" t="s">
        <v>889</v>
      </c>
      <c r="E10" s="58">
        <v>3</v>
      </c>
      <c r="F10" s="58">
        <v>3</v>
      </c>
      <c r="G10" s="58">
        <v>1</v>
      </c>
      <c r="H10" s="237">
        <f>IF(AND(ISTEXT(Tab2A[[#This Row],[Col1]]),ISTEXT(Tab2A[[#This Row],[Col2]]),ISTEXT(Tab2A[[#This Row],[Col3]]),ISNUMBER(Tab2A[[#This Row],[Col4]]),ISNUMBER(Tab2A[[#This Row],[Col5]]),ISNUMBER(Tab2A[[#This Row],[Col6]])),(Tab2A[[#This Row],[Col4]]*Tab2A[[#This Row],[Col5]])/Tab2A[[#This Row],[Col6]],0)</f>
        <v>9</v>
      </c>
      <c r="I10" s="237">
        <f>IF(Tab2A[[#This Row],[Col7]]&gt;0,1,0)</f>
        <v>1</v>
      </c>
      <c r="J10" s="237" cm="1">
        <f t="array" ref="J10">IFERROR(INDEX(TabTurKewenanganMengajar_2A1[[Diploma]:[Doktoral]],MATCH(1,(__pns_jabatan=TabTurKewenanganMengajar_2A1[Jabatan])*(__pns_pendidikan=TabTurKewenanganMengajar_2A1[Pendidikan]),0),MATCH(Tab2A[[#This Row],[Col2]],TabTurKewenanganMengajar_2A1[[#Headers],[Diploma]:[Doktoral]],0)),0)</f>
        <v>1</v>
      </c>
      <c r="K10" s="235" t="s">
        <v>370</v>
      </c>
      <c r="M10" s="238" t="str">
        <f>TabelUtama!H3</f>
        <v>Semester 1</v>
      </c>
      <c r="N10" s="238">
        <f>SUMPRODUCT((Tab2A[Col1]=$M10)*(Tab2A[Col7]))</f>
        <v>12</v>
      </c>
      <c r="O10" s="238">
        <f>IF(N10&gt;10,10,N10)*SUMPRODUCT((TabTurBatasSks_2A2[Jabatan]=__pns_jabatan)*(TabTurBatasSks_2A2[10SksPertama]))</f>
        <v>5</v>
      </c>
      <c r="P10" s="238">
        <f>IF(N10&gt;=12,2,0)*SUMPRODUCT((TabTurBatasSks_2A2[Jabatan]=__pns_jabatan)*(TabTurBatasSks_2A2[2SksBerikut]))</f>
        <v>0.5</v>
      </c>
      <c r="Q10" s="238">
        <f>SUM(O10:P10)</f>
        <v>5.5</v>
      </c>
      <c r="R10" s="238">
        <f>SUMPRODUCT((Tab2A[Col1]=$M10)*(Tab2A[Col10]=Ya)*(Tab2A[Col7])*(Tab2A[Col9]))</f>
        <v>12</v>
      </c>
      <c r="S10" s="238">
        <f>IF(R10&gt;10,10,R10)*SUMPRODUCT((TabTurBatasSks_2A2[Jabatan]=__pns_jabatan)*(TabTurBatasSks_2A2[10SksPertama]))</f>
        <v>5</v>
      </c>
      <c r="T10" s="238">
        <f>IF(R10&gt;=12,2,0)*SUMPRODUCT((TabTurBatasSks_2A2[Jabatan]=__pns_jabatan)*(TabTurBatasSks_2A2[2SksBerikut]))</f>
        <v>0.5</v>
      </c>
      <c r="U10" s="238">
        <f>SUM(S10:T10)</f>
        <v>5.5</v>
      </c>
    </row>
    <row r="11" spans="1:21" x14ac:dyDescent="0.2">
      <c r="B11" s="234" t="s">
        <v>362</v>
      </c>
      <c r="C11" s="52" t="s">
        <v>11</v>
      </c>
      <c r="D11" s="52" t="s">
        <v>890</v>
      </c>
      <c r="E11" s="58">
        <v>3</v>
      </c>
      <c r="F11" s="58">
        <v>3</v>
      </c>
      <c r="G11" s="58">
        <v>1</v>
      </c>
      <c r="H11" s="237">
        <f>IF(AND(ISTEXT(Tab2A[[#This Row],[Col1]]),ISTEXT(Tab2A[[#This Row],[Col2]]),ISTEXT(Tab2A[[#This Row],[Col3]]),ISNUMBER(Tab2A[[#This Row],[Col4]]),ISNUMBER(Tab2A[[#This Row],[Col5]]),ISNUMBER(Tab2A[[#This Row],[Col6]])),(Tab2A[[#This Row],[Col4]]*Tab2A[[#This Row],[Col5]])/Tab2A[[#This Row],[Col6]],0)</f>
        <v>9</v>
      </c>
      <c r="I11" s="237">
        <f>IF(Tab2A[[#This Row],[Col7]]&gt;0,1,0)</f>
        <v>1</v>
      </c>
      <c r="J11" s="237" cm="1">
        <f t="array" ref="J11">IFERROR(INDEX(TabTurKewenanganMengajar_2A1[[Diploma]:[Doktoral]],MATCH(1,(__pns_jabatan=TabTurKewenanganMengajar_2A1[Jabatan])*(__pns_pendidikan=TabTurKewenanganMengajar_2A1[Pendidikan]),0),MATCH(Tab2A[[#This Row],[Col2]],TabTurKewenanganMengajar_2A1[[#Headers],[Diploma]:[Doktoral]],0)),0)</f>
        <v>1</v>
      </c>
      <c r="K11" s="235" t="s">
        <v>370</v>
      </c>
      <c r="M11" s="238" t="str">
        <f>TabelUtama!H4</f>
        <v>Semester 2</v>
      </c>
      <c r="N11" s="238">
        <f>SUMPRODUCT((Tab2A[Col1]=$M11)*(Tab2A[Col7]))</f>
        <v>15</v>
      </c>
      <c r="O11" s="238">
        <f>IF(N11&gt;10,10,N11)*SUMPRODUCT((TabTurBatasSks_2A2[Jabatan]=__pns_jabatan)*(TabTurBatasSks_2A2[10SksPertama]))</f>
        <v>5</v>
      </c>
      <c r="P11" s="238">
        <f>IF(N11&gt;=12,2,0)*SUMPRODUCT((TabTurBatasSks_2A2[Jabatan]=__pns_jabatan)*(TabTurBatasSks_2A2[2SksBerikut]))</f>
        <v>0.5</v>
      </c>
      <c r="Q11" s="238">
        <f>SUM(O11:P11)</f>
        <v>5.5</v>
      </c>
      <c r="R11" s="238">
        <f>SUMPRODUCT((Tab2A[Col1]=$M11)*(Tab2A[Col10]=Ya)*(Tab2A[Col7])*(Tab2A[Col9]))</f>
        <v>15</v>
      </c>
      <c r="S11" s="238">
        <f>IF(R11&gt;10,10,R11)*SUMPRODUCT((TabTurBatasSks_2A2[Jabatan]=__pns_jabatan)*(TabTurBatasSks_2A2[10SksPertama]))</f>
        <v>5</v>
      </c>
      <c r="T11" s="238">
        <f>IF(R11&gt;=12,2,0)*SUMPRODUCT((TabTurBatasSks_2A2[Jabatan]=__pns_jabatan)*(TabTurBatasSks_2A2[2SksBerikut]))</f>
        <v>0.5</v>
      </c>
      <c r="U11" s="238">
        <f>SUM(S11:T11)</f>
        <v>5.5</v>
      </c>
    </row>
    <row r="12" spans="1:21" x14ac:dyDescent="0.2">
      <c r="B12" s="234" t="s">
        <v>362</v>
      </c>
      <c r="C12" s="52" t="s">
        <v>11</v>
      </c>
      <c r="D12" s="52" t="s">
        <v>891</v>
      </c>
      <c r="E12" s="58">
        <v>3</v>
      </c>
      <c r="F12" s="58">
        <v>1</v>
      </c>
      <c r="G12" s="58">
        <v>1</v>
      </c>
      <c r="H12" s="237">
        <f>IF(AND(ISTEXT(Tab2A[[#This Row],[Col1]]),ISTEXT(Tab2A[[#This Row],[Col2]]),ISTEXT(Tab2A[[#This Row],[Col3]]),ISNUMBER(Tab2A[[#This Row],[Col4]]),ISNUMBER(Tab2A[[#This Row],[Col5]]),ISNUMBER(Tab2A[[#This Row],[Col6]])),(Tab2A[[#This Row],[Col4]]*Tab2A[[#This Row],[Col5]])/Tab2A[[#This Row],[Col6]],0)</f>
        <v>3</v>
      </c>
      <c r="I12" s="237">
        <f>IF(Tab2A[[#This Row],[Col7]]&gt;0,1,0)</f>
        <v>1</v>
      </c>
      <c r="J12" s="237" cm="1">
        <f t="array" ref="J12">IFERROR(INDEX(TabTurKewenanganMengajar_2A1[[Diploma]:[Doktoral]],MATCH(1,(__pns_jabatan=TabTurKewenanganMengajar_2A1[Jabatan])*(__pns_pendidikan=TabTurKewenanganMengajar_2A1[Pendidikan]),0),MATCH(Tab2A[[#This Row],[Col2]],TabTurKewenanganMengajar_2A1[[#Headers],[Diploma]:[Doktoral]],0)),0)</f>
        <v>1</v>
      </c>
      <c r="K12" s="235" t="s">
        <v>370</v>
      </c>
    </row>
    <row r="13" spans="1:21" x14ac:dyDescent="0.2">
      <c r="B13" s="234" t="s">
        <v>362</v>
      </c>
      <c r="C13" s="52" t="s">
        <v>11</v>
      </c>
      <c r="D13" s="52" t="s">
        <v>892</v>
      </c>
      <c r="E13" s="58">
        <v>3</v>
      </c>
      <c r="F13" s="58">
        <v>1</v>
      </c>
      <c r="G13" s="58">
        <v>1</v>
      </c>
      <c r="H13" s="237">
        <f>IF(AND(ISTEXT(Tab2A[[#This Row],[Col1]]),ISTEXT(Tab2A[[#This Row],[Col2]]),ISTEXT(Tab2A[[#This Row],[Col3]]),ISNUMBER(Tab2A[[#This Row],[Col4]]),ISNUMBER(Tab2A[[#This Row],[Col5]]),ISNUMBER(Tab2A[[#This Row],[Col6]])),(Tab2A[[#This Row],[Col4]]*Tab2A[[#This Row],[Col5]])/Tab2A[[#This Row],[Col6]],0)</f>
        <v>3</v>
      </c>
      <c r="I13" s="237">
        <f>IF(Tab2A[[#This Row],[Col7]]&gt;0,1,0)</f>
        <v>1</v>
      </c>
      <c r="J13" s="237" cm="1">
        <f t="array" ref="J13">IFERROR(INDEX(TabTurKewenanganMengajar_2A1[[Diploma]:[Doktoral]],MATCH(1,(__pns_jabatan=TabTurKewenanganMengajar_2A1[Jabatan])*(__pns_pendidikan=TabTurKewenanganMengajar_2A1[Pendidikan]),0),MATCH(Tab2A[[#This Row],[Col2]],TabTurKewenanganMengajar_2A1[[#Headers],[Diploma]:[Doktoral]],0)),0)</f>
        <v>1</v>
      </c>
      <c r="K13" s="235" t="s">
        <v>370</v>
      </c>
      <c r="M13" s="242" t="s">
        <v>721</v>
      </c>
      <c r="N13" s="241"/>
      <c r="O13" s="242"/>
      <c r="P13" s="242"/>
      <c r="Q13" s="242"/>
      <c r="R13" s="242"/>
      <c r="S13" s="242"/>
      <c r="T13" s="242"/>
      <c r="U13" s="241"/>
    </row>
    <row r="15" spans="1:21" x14ac:dyDescent="0.2">
      <c r="N15" s="239"/>
      <c r="O15" s="239"/>
      <c r="P15" s="239"/>
      <c r="Q15" s="239"/>
      <c r="R15" s="239"/>
      <c r="S15" s="240"/>
      <c r="T15" s="240"/>
      <c r="U15" s="240"/>
    </row>
  </sheetData>
  <mergeCells count="8">
    <mergeCell ref="N6:Q6"/>
    <mergeCell ref="R6:U6"/>
    <mergeCell ref="N5:U5"/>
    <mergeCell ref="B5:B6"/>
    <mergeCell ref="C5:C6"/>
    <mergeCell ref="K5:K6"/>
    <mergeCell ref="I5:J5"/>
    <mergeCell ref="D5:H5"/>
  </mergeCells>
  <dataValidations count="3">
    <dataValidation type="list" allowBlank="1" showInputMessage="1" showErrorMessage="1" sqref="B8:B13" xr:uid="{00000000-0002-0000-0D00-000000000000}">
      <formula1>TabutKalenderIsi</formula1>
    </dataValidation>
    <dataValidation type="list" allowBlank="1" showInputMessage="1" showErrorMessage="1" sqref="C8:C13" xr:uid="{00000000-0002-0000-0D00-000001000000}">
      <formula1>TabutProdiIsi</formula1>
    </dataValidation>
    <dataValidation type="list" allowBlank="1" showInputMessage="1" showErrorMessage="1" sqref="K8:K13" xr:uid="{00000000-0002-0000-0D00-000002000000}">
      <formula1>TabutPilihanIsi</formula1>
    </dataValidation>
  </dataValidations>
  <pageMargins left="0.3" right="0.19" top="0.75" bottom="0.75" header="0.3" footer="0.3"/>
  <pageSetup paperSize="9" scale="85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Q13"/>
  <sheetViews>
    <sheetView workbookViewId="0">
      <selection activeCell="G13" sqref="G13"/>
    </sheetView>
  </sheetViews>
  <sheetFormatPr baseColWidth="10" defaultColWidth="9.1640625" defaultRowHeight="15" x14ac:dyDescent="0.2"/>
  <cols>
    <col min="1" max="1" width="1.1640625" style="1" customWidth="1"/>
    <col min="2" max="2" width="10.83203125" style="1" customWidth="1"/>
    <col min="3" max="3" width="30.6640625" style="1" customWidth="1"/>
    <col min="4" max="4" width="33.33203125" style="1" customWidth="1"/>
    <col min="5" max="6" width="7.33203125" style="1" customWidth="1"/>
    <col min="7" max="7" width="12" style="1" customWidth="1"/>
    <col min="8" max="8" width="2.1640625" style="1" customWidth="1"/>
    <col min="9" max="9" width="12.5" style="1" customWidth="1"/>
    <col min="10" max="17" width="8.33203125" style="1" customWidth="1"/>
    <col min="18" max="16384" width="9.1640625" style="1"/>
  </cols>
  <sheetData>
    <row r="1" spans="2:17" x14ac:dyDescent="0.2">
      <c r="B1" s="26" t="s">
        <v>356</v>
      </c>
      <c r="C1" s="26"/>
      <c r="D1" s="27"/>
      <c r="E1" s="27"/>
      <c r="F1" s="27"/>
      <c r="G1" s="27"/>
    </row>
    <row r="2" spans="2:17" x14ac:dyDescent="0.2">
      <c r="B2" s="25" t="s">
        <v>78</v>
      </c>
      <c r="C2" s="26"/>
      <c r="D2" s="28"/>
      <c r="E2" s="28"/>
      <c r="F2" s="28"/>
      <c r="G2" s="28"/>
      <c r="I2" s="25" t="s">
        <v>80</v>
      </c>
      <c r="J2" s="26"/>
      <c r="K2" s="28"/>
      <c r="L2" s="28"/>
      <c r="M2" s="28"/>
      <c r="N2" s="28"/>
    </row>
    <row r="3" spans="2:17" ht="15" customHeight="1" x14ac:dyDescent="0.2">
      <c r="B3" s="315" t="str">
        <f>INDEX(TabRef2[],MATCH($B$2,TabRef2[Column3],0),4)</f>
        <v>Membimbing seminar mahasiswa (setiap mahasiswa)</v>
      </c>
      <c r="C3" s="300"/>
      <c r="D3" s="300"/>
      <c r="E3" s="300"/>
      <c r="F3" s="300"/>
      <c r="G3" s="300"/>
      <c r="I3" s="315" t="str">
        <f>INDEX(TabRef2[],MATCH($I$2,TabRef2[Column3],0),4)</f>
        <v>Membimbing KKN, Praktik Kerja Nyata, Praktik Kerja Lapangan (setiap semester)</v>
      </c>
      <c r="J3" s="300"/>
      <c r="K3" s="300"/>
      <c r="L3" s="300"/>
      <c r="M3" s="300"/>
      <c r="N3" s="300"/>
    </row>
    <row r="4" spans="2:17" x14ac:dyDescent="0.2">
      <c r="E4" s="23"/>
      <c r="F4" s="24"/>
      <c r="G4" s="24"/>
    </row>
    <row r="5" spans="2:17" ht="33" customHeight="1" x14ac:dyDescent="0.2">
      <c r="B5" s="31" t="s">
        <v>358</v>
      </c>
      <c r="C5" s="31" t="s">
        <v>359</v>
      </c>
      <c r="D5" s="32" t="s">
        <v>799</v>
      </c>
      <c r="E5" s="33" t="s">
        <v>367</v>
      </c>
      <c r="F5" s="33" t="s">
        <v>12</v>
      </c>
      <c r="G5" s="32" t="s">
        <v>372</v>
      </c>
      <c r="I5" s="554" t="s">
        <v>366</v>
      </c>
      <c r="J5" s="556"/>
      <c r="K5" s="556"/>
      <c r="L5" s="556"/>
      <c r="M5" s="556"/>
      <c r="N5" s="556"/>
      <c r="O5" s="556"/>
      <c r="P5" s="556"/>
      <c r="Q5" s="555"/>
    </row>
    <row r="6" spans="2:17" ht="18" hidden="1" customHeight="1" x14ac:dyDescent="0.2">
      <c r="B6" s="257"/>
      <c r="C6" s="257"/>
      <c r="D6" s="257"/>
      <c r="E6" s="238">
        <f>IF(AND(ISTEXT(Tab2BC[[#This Row],[Semester]]),ISTEXT(Tab2BC[[#This Row],[Jenis Kegiatan]]),ISTEXT(Tab2BC[[#This Row],[Nama Mahasiswa (seminar) / Lokasi (praktik kerja)]]))=TRUE,1,0)</f>
        <v>0</v>
      </c>
      <c r="F6" s="238">
        <f>IFERROR(IF(Tab2BC[[#This Row],[Jml Keg]]&gt;0,VLOOKUP(Tab2BC[[#This Row],[Jenis Kegiatan]],TabTurKegiatan_1BC1[],2,FALSE),0),0)</f>
        <v>0</v>
      </c>
      <c r="G6" s="256"/>
      <c r="I6" s="248"/>
      <c r="J6" s="249"/>
      <c r="K6" s="249"/>
      <c r="L6" s="249"/>
      <c r="M6" s="249"/>
      <c r="N6" s="249"/>
      <c r="O6" s="249"/>
      <c r="P6" s="249"/>
      <c r="Q6" s="250"/>
    </row>
    <row r="7" spans="2:17" ht="18" customHeight="1" x14ac:dyDescent="0.2">
      <c r="B7" s="30" t="s">
        <v>361</v>
      </c>
      <c r="C7" s="30" t="s">
        <v>363</v>
      </c>
      <c r="D7" s="30" t="s">
        <v>906</v>
      </c>
      <c r="E7" s="247">
        <f>IF(AND(ISTEXT(Tab2BC[[#This Row],[Semester]]),ISTEXT(Tab2BC[[#This Row],[Jenis Kegiatan]]),ISTEXT(Tab2BC[[#This Row],[Nama Mahasiswa (seminar) / Lokasi (praktik kerja)]]))=TRUE,1,0)</f>
        <v>1</v>
      </c>
      <c r="F7" s="247">
        <f>IFERROR(IF(Tab2BC[[#This Row],[Jml Keg]]&gt;0,VLOOKUP(Tab2BC[[#This Row],[Jenis Kegiatan]],TabTurKegiatan_1BC1[],2,FALSE),0),0)</f>
        <v>1</v>
      </c>
      <c r="G7" s="57" t="s">
        <v>370</v>
      </c>
      <c r="I7" s="243"/>
      <c r="J7" s="552" t="str">
        <f>TabelTurunan!B16</f>
        <v>Membimbing seminar mahasiswa</v>
      </c>
      <c r="K7" s="552"/>
      <c r="L7" s="552"/>
      <c r="M7" s="552"/>
      <c r="N7" s="554" t="str">
        <f>TabelTurunan!B17</f>
        <v>Membimbing PKN, KKN, dan PKL</v>
      </c>
      <c r="O7" s="556"/>
      <c r="P7" s="556"/>
      <c r="Q7" s="555"/>
    </row>
    <row r="8" spans="2:17" ht="18" customHeight="1" x14ac:dyDescent="0.2">
      <c r="B8" s="421" t="s">
        <v>361</v>
      </c>
      <c r="C8" s="421" t="s">
        <v>363</v>
      </c>
      <c r="D8" s="421" t="s">
        <v>907</v>
      </c>
      <c r="E8" s="422">
        <f>IF(AND(ISTEXT(Tab2BC[[#This Row],[Semester]]),ISTEXT(Tab2BC[[#This Row],[Jenis Kegiatan]]),ISTEXT(Tab2BC[[#This Row],[Nama Mahasiswa (seminar) / Lokasi (praktik kerja)]]))=TRUE,1,0)</f>
        <v>1</v>
      </c>
      <c r="F8" s="422">
        <f>IFERROR(IF(Tab2BC[[#This Row],[Jml Keg]]&gt;0,VLOOKUP(Tab2BC[[#This Row],[Jenis Kegiatan]],TabTurKegiatan_1BC1[],2,FALSE),0),0)</f>
        <v>1</v>
      </c>
      <c r="G8" s="58" t="s">
        <v>370</v>
      </c>
      <c r="I8" s="244"/>
      <c r="J8" s="554" t="s">
        <v>373</v>
      </c>
      <c r="K8" s="555"/>
      <c r="L8" s="554" t="s">
        <v>374</v>
      </c>
      <c r="M8" s="555"/>
      <c r="N8" s="554" t="s">
        <v>373</v>
      </c>
      <c r="O8" s="555"/>
      <c r="P8" s="554" t="s">
        <v>374</v>
      </c>
      <c r="Q8" s="555"/>
    </row>
    <row r="9" spans="2:17" ht="18" customHeight="1" x14ac:dyDescent="0.2">
      <c r="B9" s="421" t="s">
        <v>361</v>
      </c>
      <c r="C9" s="421" t="s">
        <v>363</v>
      </c>
      <c r="D9" s="421" t="s">
        <v>908</v>
      </c>
      <c r="E9" s="422">
        <f>IF(AND(ISTEXT(Tab2BC[[#This Row],[Semester]]),ISTEXT(Tab2BC[[#This Row],[Jenis Kegiatan]]),ISTEXT(Tab2BC[[#This Row],[Nama Mahasiswa (seminar) / Lokasi (praktik kerja)]]))=TRUE,1,0)</f>
        <v>1</v>
      </c>
      <c r="F9" s="422">
        <f>IFERROR(IF(Tab2BC[[#This Row],[Jml Keg]]&gt;0,VLOOKUP(Tab2BC[[#This Row],[Jenis Kegiatan]],TabTurKegiatan_1BC1[],2,FALSE),0),0)</f>
        <v>1</v>
      </c>
      <c r="G9" s="58" t="s">
        <v>370</v>
      </c>
      <c r="I9" s="245"/>
      <c r="J9" s="238" t="s">
        <v>355</v>
      </c>
      <c r="K9" s="238" t="s">
        <v>12</v>
      </c>
      <c r="L9" s="238" t="s">
        <v>355</v>
      </c>
      <c r="M9" s="238" t="s">
        <v>12</v>
      </c>
      <c r="N9" s="238" t="s">
        <v>355</v>
      </c>
      <c r="O9" s="238" t="s">
        <v>12</v>
      </c>
      <c r="P9" s="238" t="s">
        <v>355</v>
      </c>
      <c r="Q9" s="238" t="s">
        <v>12</v>
      </c>
    </row>
    <row r="10" spans="2:17" x14ac:dyDescent="0.2">
      <c r="B10" s="421" t="s">
        <v>361</v>
      </c>
      <c r="C10" s="421" t="s">
        <v>363</v>
      </c>
      <c r="D10" s="421" t="s">
        <v>909</v>
      </c>
      <c r="E10" s="422">
        <f>IF(AND(ISTEXT(Tab2BC[[#This Row],[Semester]]),ISTEXT(Tab2BC[[#This Row],[Jenis Kegiatan]]),ISTEXT(Tab2BC[[#This Row],[Nama Mahasiswa (seminar) / Lokasi (praktik kerja)]]))=TRUE,1,0)</f>
        <v>1</v>
      </c>
      <c r="F10" s="422">
        <f>IFERROR(IF(Tab2BC[[#This Row],[Jml Keg]]&gt;0,VLOOKUP(Tab2BC[[#This Row],[Jenis Kegiatan]],TabTurKegiatan_1BC1[],2,FALSE),0),0)</f>
        <v>1</v>
      </c>
      <c r="G10" s="58" t="s">
        <v>370</v>
      </c>
      <c r="I10" s="238" t="str">
        <f>TabelUtama!H3</f>
        <v>Semester 1</v>
      </c>
      <c r="J10" s="238">
        <f>SUMPRODUCT((Tab2BC[Semester]=$I10)*(Tab2BC[Jenis Kegiatan]=J$7)*(Tab2BC[Jml Keg]))</f>
        <v>0</v>
      </c>
      <c r="K10" s="238">
        <f>IF(SUMPRODUCT((Tab2BC[Semester]=$I10)*(Tab2BC[Jenis Kegiatan]=J$7)*(Tab2BC[Kredit]))&gt;=1,1,0)</f>
        <v>0</v>
      </c>
      <c r="L10" s="238">
        <f>SUMPRODUCT((Tab2BC[Semester]=$I10)*(Tab2BC[Jenis Kegiatan]=J$7)*(Tab2BC[Terlaksana]=TabelUtama!$J$3)*(Tab2BC[Jml Keg]))</f>
        <v>0</v>
      </c>
      <c r="M10" s="238">
        <f>IF(SUMPRODUCT((Tab2BC[Semester]=$I10)*(Tab2BC[Jenis Kegiatan]=J$7)*(Tab2BC[Terlaksana]=TabelUtama!$J$3)*(Tab2BC[Kredit]))&gt;=1,1,0)</f>
        <v>0</v>
      </c>
      <c r="N10" s="238">
        <f>SUMPRODUCT((Tab2BC[Semester]=$I10)*(Tab2BC[Jenis Kegiatan]=N$7)*(Tab2BC[Jml Keg]))</f>
        <v>4</v>
      </c>
      <c r="O10" s="238">
        <f>IF(SUMPRODUCT((Tab2BC[Semester]=$I10)*(Tab2BC[Jenis Kegiatan]=N$7)*(Tab2BC[Kredit]))&gt;=1,1,0)</f>
        <v>1</v>
      </c>
      <c r="P10" s="238">
        <f>SUMPRODUCT((Tab2BC[Semester]=$I10)*(Tab2BC[Jenis Kegiatan]=N$7)*(Tab2BC[Terlaksana]=TabelUtama!$J$3)*(Tab2BC[Jml Keg]))</f>
        <v>4</v>
      </c>
      <c r="Q10" s="238">
        <f>IF(SUMPRODUCT((Tab2BC[Semester]=$I10)*(Tab2BC[Jenis Kegiatan]=N$7)*(Tab2BC[Terlaksana]=TabelUtama!$J$3)*(Tab2BC[Kredit]))&gt;=1,1,0)</f>
        <v>1</v>
      </c>
    </row>
    <row r="11" spans="2:17" x14ac:dyDescent="0.2">
      <c r="I11" s="238" t="str">
        <f>TabelUtama!H4</f>
        <v>Semester 2</v>
      </c>
      <c r="J11" s="238">
        <f>SUMPRODUCT((Tab2BC[Semester]=$I11)*(Tab2BC[Jenis Kegiatan]=J$7)*(Tab2BC[Jml Keg]))</f>
        <v>0</v>
      </c>
      <c r="K11" s="238">
        <f>IF(SUMPRODUCT((Tab2BC[Semester]=$I11)*(Tab2BC[Jenis Kegiatan]=J$7)*(Tab2BC[Kredit]))&gt;=1,1,0)</f>
        <v>0</v>
      </c>
      <c r="L11" s="238">
        <f>SUMPRODUCT((Tab2BC[Semester]=$I11)*(Tab2BC[Jenis Kegiatan]=J$7)*(Tab2BC[Terlaksana]=TabelUtama!$J$3)*(Tab2BC[Jml Keg]))</f>
        <v>0</v>
      </c>
      <c r="M11" s="238">
        <f>IF(SUMPRODUCT((Tab2BC[Semester]=$I11)*(Tab2BC[Jenis Kegiatan]=J$7)*(Tab2BC[Terlaksana]=TabelUtama!$J$3)*(Tab2BC[Kredit]))&gt;=1,1,0)</f>
        <v>0</v>
      </c>
      <c r="N11" s="238">
        <f>SUMPRODUCT((Tab2BC[Semester]=$I11)*(Tab2BC[Jenis Kegiatan]=N$7)*(Tab2BC[Jml Keg]))</f>
        <v>0</v>
      </c>
      <c r="O11" s="238">
        <f>IF(SUMPRODUCT((Tab2BC[Semester]=$I11)*(Tab2BC[Jenis Kegiatan]=N$7)*(Tab2BC[Kredit]))&gt;=1,1,0)</f>
        <v>0</v>
      </c>
      <c r="P11" s="238">
        <f>SUMPRODUCT((Tab2BC[Semester]=$I11)*(Tab2BC[Jenis Kegiatan]=N$7)*(Tab2BC[Terlaksana]=TabelUtama!$J$3)*(Tab2BC[Jml Keg]))</f>
        <v>0</v>
      </c>
      <c r="Q11" s="238">
        <f>IF(SUMPRODUCT((Tab2BC[Semester]=$I11)*(Tab2BC[Jenis Kegiatan]=N$7)*(Tab2BC[Terlaksana]=TabelUtama!$J$3)*(Tab2BC[Kredit]))&gt;=1,1,0)</f>
        <v>0</v>
      </c>
    </row>
    <row r="13" spans="2:17" x14ac:dyDescent="0.2">
      <c r="I13" s="242" t="s">
        <v>721</v>
      </c>
      <c r="J13" s="241"/>
      <c r="K13" s="242"/>
      <c r="L13" s="242"/>
      <c r="M13" s="242"/>
      <c r="N13" s="242"/>
      <c r="O13" s="242"/>
      <c r="P13" s="242"/>
      <c r="Q13" s="241"/>
    </row>
  </sheetData>
  <mergeCells count="7">
    <mergeCell ref="P8:Q8"/>
    <mergeCell ref="J7:M7"/>
    <mergeCell ref="N7:Q7"/>
    <mergeCell ref="I5:Q5"/>
    <mergeCell ref="J8:K8"/>
    <mergeCell ref="L8:M8"/>
    <mergeCell ref="N8:O8"/>
  </mergeCells>
  <dataValidations count="3">
    <dataValidation type="list" allowBlank="1" showInputMessage="1" showErrorMessage="1" sqref="B6:B10" xr:uid="{00000000-0002-0000-0E00-000000000000}">
      <formula1>TabutKalenderIsi</formula1>
    </dataValidation>
    <dataValidation type="list" allowBlank="1" showInputMessage="1" showErrorMessage="1" sqref="C6:C10" xr:uid="{00000000-0002-0000-0E00-000001000000}">
      <formula1>_1BC1_kegiatan</formula1>
    </dataValidation>
    <dataValidation type="list" allowBlank="1" showInputMessage="1" showErrorMessage="1" sqref="G6:G10" xr:uid="{00000000-0002-0000-0E00-000002000000}">
      <formula1>TabutPilihanIsi</formula1>
    </dataValidation>
  </dataValidations>
  <pageMargins left="0.3" right="0.19" top="0.75" bottom="0.75" header="0.3" footer="0.3"/>
  <pageSetup paperSize="9" scale="85" orientation="landscape" r:id="rId1"/>
  <ignoredErrors>
    <ignoredError sqref="G7" calculatedColumn="1"/>
  </ignoredErrors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U32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1.33203125" style="1" customWidth="1"/>
    <col min="2" max="2" width="12.1640625" style="1" customWidth="1"/>
    <col min="3" max="3" width="31.1640625" style="1" customWidth="1"/>
    <col min="4" max="4" width="13.83203125" style="1" customWidth="1"/>
    <col min="5" max="5" width="13.6640625" style="1" customWidth="1"/>
    <col min="6" max="6" width="4" style="1" customWidth="1"/>
    <col min="7" max="7" width="7.6640625" style="1" customWidth="1"/>
    <col min="8" max="8" width="11" style="1" customWidth="1"/>
    <col min="9" max="9" width="3.83203125" style="1" customWidth="1"/>
    <col min="10" max="10" width="7.6640625" style="1" customWidth="1"/>
    <col min="11" max="11" width="11.6640625" style="1" customWidth="1"/>
    <col min="12" max="12" width="1.83203125" style="1" customWidth="1"/>
    <col min="13" max="13" width="12.1640625" style="1" customWidth="1"/>
    <col min="14" max="21" width="6.6640625" style="1" customWidth="1"/>
    <col min="22" max="16384" width="9.1640625" style="1"/>
  </cols>
  <sheetData>
    <row r="1" spans="2:21" x14ac:dyDescent="0.2">
      <c r="B1" s="26" t="s">
        <v>356</v>
      </c>
      <c r="C1" s="26"/>
      <c r="D1" s="27"/>
      <c r="E1" s="27"/>
      <c r="F1" s="27"/>
      <c r="G1" s="27"/>
    </row>
    <row r="2" spans="2:21" x14ac:dyDescent="0.2">
      <c r="B2" s="25" t="s">
        <v>81</v>
      </c>
      <c r="C2" s="26"/>
      <c r="D2" s="28"/>
      <c r="E2" s="28"/>
      <c r="F2" s="28"/>
      <c r="G2" s="28"/>
      <c r="J2" s="26"/>
      <c r="K2" s="28"/>
      <c r="L2" s="28"/>
      <c r="M2" s="25" t="s">
        <v>84</v>
      </c>
      <c r="N2" s="28"/>
    </row>
    <row r="3" spans="2:21" ht="15" customHeight="1" x14ac:dyDescent="0.2">
      <c r="B3" s="315" t="str">
        <f>INDEX(TabRef2[],MATCH($B$2,TabRef2[Column3],0),4)</f>
        <v>Membimbing dan ikut membimbing dalam menghasilkan disertasi, tesis, skripsi dan laporan akhir studi yang sesuai bidang penugasannya</v>
      </c>
      <c r="C3" s="300"/>
      <c r="D3" s="300"/>
      <c r="E3" s="300"/>
      <c r="F3" s="300"/>
      <c r="G3" s="300"/>
      <c r="J3" s="300"/>
      <c r="K3" s="300"/>
      <c r="L3" s="300"/>
      <c r="M3" s="315" t="str">
        <f>INDEX(TabRef2[],MATCH($M$2,TabRef2[Column3],0),4)</f>
        <v>Bertugas sebagai penguji pada ujian akhir/Profesi*** (setiap mahasiswa)</v>
      </c>
      <c r="N3" s="300"/>
      <c r="O3" s="300"/>
      <c r="P3" s="300"/>
      <c r="Q3" s="300"/>
      <c r="R3" s="300"/>
      <c r="S3" s="300"/>
      <c r="T3" s="300"/>
      <c r="U3" s="300"/>
    </row>
    <row r="5" spans="2:21" x14ac:dyDescent="0.2">
      <c r="B5" s="560" t="s">
        <v>358</v>
      </c>
      <c r="C5" s="560" t="s">
        <v>375</v>
      </c>
      <c r="D5" s="561" t="s">
        <v>376</v>
      </c>
      <c r="E5" s="560" t="s">
        <v>377</v>
      </c>
      <c r="F5" s="560"/>
      <c r="G5" s="560"/>
      <c r="H5" s="560" t="s">
        <v>379</v>
      </c>
      <c r="I5" s="560"/>
      <c r="J5" s="560"/>
      <c r="K5" s="560" t="s">
        <v>368</v>
      </c>
      <c r="M5" s="243"/>
      <c r="N5" s="554" t="s">
        <v>366</v>
      </c>
      <c r="O5" s="556"/>
      <c r="P5" s="556"/>
      <c r="Q5" s="556"/>
      <c r="R5" s="556"/>
      <c r="S5" s="556"/>
      <c r="T5" s="556"/>
      <c r="U5" s="555"/>
    </row>
    <row r="6" spans="2:21" x14ac:dyDescent="0.2">
      <c r="B6" s="560"/>
      <c r="C6" s="560"/>
      <c r="D6" s="562"/>
      <c r="E6" s="36" t="s">
        <v>378</v>
      </c>
      <c r="F6" s="45" t="s">
        <v>399</v>
      </c>
      <c r="G6" s="36" t="s">
        <v>12</v>
      </c>
      <c r="H6" s="36" t="s">
        <v>378</v>
      </c>
      <c r="I6" s="45" t="s">
        <v>399</v>
      </c>
      <c r="J6" s="36" t="s">
        <v>12</v>
      </c>
      <c r="K6" s="560"/>
      <c r="M6" s="244"/>
      <c r="N6" s="552" t="s">
        <v>403</v>
      </c>
      <c r="O6" s="552"/>
      <c r="P6" s="552"/>
      <c r="Q6" s="552"/>
      <c r="R6" s="552" t="s">
        <v>404</v>
      </c>
      <c r="S6" s="552"/>
      <c r="T6" s="552"/>
      <c r="U6" s="552"/>
    </row>
    <row r="7" spans="2:21" ht="15" hidden="1" customHeight="1" x14ac:dyDescent="0.2">
      <c r="B7" s="22" t="s">
        <v>722</v>
      </c>
      <c r="C7" s="22" t="s">
        <v>723</v>
      </c>
      <c r="D7" s="22" t="s">
        <v>724</v>
      </c>
      <c r="E7" s="22" t="s">
        <v>725</v>
      </c>
      <c r="F7" s="22" t="s">
        <v>726</v>
      </c>
      <c r="G7" s="22" t="s">
        <v>727</v>
      </c>
      <c r="H7" s="22" t="s">
        <v>728</v>
      </c>
      <c r="I7" s="22" t="s">
        <v>729</v>
      </c>
      <c r="J7" s="22" t="s">
        <v>730</v>
      </c>
      <c r="K7" s="22" t="s">
        <v>731</v>
      </c>
      <c r="M7" s="244"/>
      <c r="N7" s="251"/>
      <c r="O7" s="251"/>
      <c r="P7" s="251"/>
      <c r="Q7" s="251"/>
      <c r="R7" s="251"/>
      <c r="S7" s="251"/>
      <c r="T7" s="251"/>
      <c r="U7" s="251"/>
    </row>
    <row r="8" spans="2:21" hidden="1" x14ac:dyDescent="0.2">
      <c r="B8" s="256"/>
      <c r="C8" s="257"/>
      <c r="D8" s="256"/>
      <c r="E8" s="256"/>
      <c r="F8" s="238">
        <f>IF(AND(ISTEXT(Tab2DE[[#This Row],[Col1]]),ISTEXT(Tab2DE[[#This Row],[Col2]]),ISTEXT(Tab2DE[[#This Row],[Col3]]),ISTEXT(Tab2DE[[#This Row],[Col4]])),1,0)</f>
        <v>0</v>
      </c>
      <c r="G8" s="238">
        <f t="array" ref="G8">IFERROR(INDEX(TabTurKreditPembimbing_2DE3[[Tugas Akhir]:[Desertasi]],MATCH(1,(__pns_jabatan=TabTurKreditPembimbing_2DE3[Jabatan])*(__pns_pendidikan=TabTurKreditPembimbing_2DE3[Pendidikan])*(Tab2DE[[#This Row],[Col4]]=TabTurKreditPembimbing_2DE3[Pembimbing]),0),MATCH(Tab2DE[[#This Row],[Col3]],TabTurKreditPembimbing_2DE3[[#Headers],[Tugas Akhir]:[Desertasi]],0)),0)</f>
        <v>0</v>
      </c>
      <c r="H8" s="256"/>
      <c r="I8" s="238">
        <f>IF(AND(ISTEXT(Tab2DE[[#This Row],[Col7]]),ISTEXT(Tab2DE[[#This Row],[Col1]]),ISTEXT(Tab2DE[[#This Row],[Col2]])),1,0)</f>
        <v>0</v>
      </c>
      <c r="J8" s="238">
        <f>IFERROR(IF(AND(ISTEXT(Tab2DE[[#This Row],[Col3]]),ISTEXT(Tab2DE[[#This Row],[Col4]])),0,VLOOKUP(Tab2DE[[#This Row],[Col7]],TabTurPenguji_2DE4[[Penguji]:[Kredit]],2,FALSE)),0)</f>
        <v>0</v>
      </c>
      <c r="K8" s="256"/>
      <c r="M8" s="244"/>
      <c r="N8" s="251"/>
      <c r="O8" s="251"/>
      <c r="P8" s="251"/>
      <c r="Q8" s="251"/>
      <c r="R8" s="251"/>
      <c r="S8" s="251"/>
      <c r="T8" s="251"/>
      <c r="U8" s="251"/>
    </row>
    <row r="9" spans="2:21" x14ac:dyDescent="0.2">
      <c r="B9" s="46" t="s">
        <v>361</v>
      </c>
      <c r="C9" s="30" t="s">
        <v>893</v>
      </c>
      <c r="D9" s="88" t="s">
        <v>217</v>
      </c>
      <c r="E9" s="88"/>
      <c r="F9" s="238">
        <f>IF(AND(ISTEXT(Tab2DE[[#This Row],[Col1]]),ISTEXT(Tab2DE[[#This Row],[Col2]]),ISTEXT(Tab2DE[[#This Row],[Col3]]),ISTEXT(Tab2DE[[#This Row],[Col4]])),1,0)</f>
        <v>0</v>
      </c>
      <c r="G9" s="238">
        <f t="array" ref="G9">IFERROR(INDEX(TabTurKreditPembimbing_2DE3[[Tugas Akhir]:[Desertasi]],MATCH(1,(__pns_jabatan=TabTurKreditPembimbing_2DE3[Jabatan])*(__pns_pendidikan=TabTurKreditPembimbing_2DE3[Pendidikan])*(Tab2DE[[#This Row],[Col4]]=TabTurKreditPembimbing_2DE3[Pembimbing]),0),MATCH(Tab2DE[[#This Row],[Col3]],TabTurKreditPembimbing_2DE3[[#Headers],[Tugas Akhir]:[Desertasi]],0)),0)</f>
        <v>0</v>
      </c>
      <c r="H9" s="46" t="s">
        <v>385</v>
      </c>
      <c r="I9" s="238">
        <f>IF(AND(ISTEXT(Tab2DE[[#This Row],[Col7]]),ISTEXT(Tab2DE[[#This Row],[Col1]]),ISTEXT(Tab2DE[[#This Row],[Col2]])),1,0)</f>
        <v>1</v>
      </c>
      <c r="J9" s="238">
        <f>IFERROR(IF(AND(ISTEXT(Tab2DE[[#This Row],[Col3]]),ISTEXT(Tab2DE[[#This Row],[Col4]])),0,VLOOKUP(Tab2DE[[#This Row],[Col7]],TabTurPenguji_2DE4[[Penguji]:[Kredit]],2,FALSE)),0)</f>
        <v>1</v>
      </c>
      <c r="K9" s="46" t="s">
        <v>370</v>
      </c>
      <c r="M9" s="244"/>
      <c r="N9" s="552" t="s">
        <v>401</v>
      </c>
      <c r="O9" s="552"/>
      <c r="P9" s="552" t="s">
        <v>402</v>
      </c>
      <c r="Q9" s="552"/>
      <c r="R9" s="552" t="s">
        <v>401</v>
      </c>
      <c r="S9" s="552"/>
      <c r="T9" s="552" t="s">
        <v>402</v>
      </c>
      <c r="U9" s="552"/>
    </row>
    <row r="10" spans="2:21" x14ac:dyDescent="0.2">
      <c r="B10" s="88" t="s">
        <v>361</v>
      </c>
      <c r="C10" s="30" t="s">
        <v>896</v>
      </c>
      <c r="D10" s="88" t="s">
        <v>217</v>
      </c>
      <c r="E10" s="88" t="s">
        <v>384</v>
      </c>
      <c r="F10" s="420">
        <f>IF(AND(ISTEXT(Tab2DE[[#This Row],[Col1]]),ISTEXT(Tab2DE[[#This Row],[Col2]]),ISTEXT(Tab2DE[[#This Row],[Col3]]),ISTEXT(Tab2DE[[#This Row],[Col4]])),1,0)</f>
        <v>1</v>
      </c>
      <c r="G10" s="420" cm="1">
        <f t="array" ref="G10">IFERROR(INDEX(TabTurKreditPembimbing_2DE3[[Tugas Akhir]:[Desertasi]],MATCH(1,(__pns_jabatan=TabTurKreditPembimbing_2DE3[Jabatan])*(__pns_pendidikan=TabTurKreditPembimbing_2DE3[Pendidikan])*(Tab2DE[[#This Row],[Col4]]=TabTurKreditPembimbing_2DE3[Pembimbing]),0),MATCH(Tab2DE[[#This Row],[Col3]],TabTurKreditPembimbing_2DE3[[#Headers],[Tugas Akhir]:[Desertasi]],0)),0)</f>
        <v>0.5</v>
      </c>
      <c r="H10" s="88"/>
      <c r="I10" s="420">
        <f>IF(AND(ISTEXT(Tab2DE[[#This Row],[Col7]]),ISTEXT(Tab2DE[[#This Row],[Col1]]),ISTEXT(Tab2DE[[#This Row],[Col2]])),1,0)</f>
        <v>0</v>
      </c>
      <c r="J10" s="420">
        <f>IFERROR(IF(AND(ISTEXT(Tab2DE[[#This Row],[Col3]]),ISTEXT(Tab2DE[[#This Row],[Col4]])),0,VLOOKUP(Tab2DE[[#This Row],[Col7]],TabTurPenguji_2DE4[[Penguji]:[Kredit]],2,FALSE)),0)</f>
        <v>0</v>
      </c>
      <c r="K10" s="88" t="s">
        <v>370</v>
      </c>
      <c r="M10" s="245"/>
      <c r="N10" s="238" t="s">
        <v>405</v>
      </c>
      <c r="O10" s="238" t="s">
        <v>12</v>
      </c>
      <c r="P10" s="238" t="s">
        <v>405</v>
      </c>
      <c r="Q10" s="238" t="s">
        <v>12</v>
      </c>
      <c r="R10" s="238" t="s">
        <v>405</v>
      </c>
      <c r="S10" s="238" t="s">
        <v>12</v>
      </c>
      <c r="T10" s="238" t="s">
        <v>405</v>
      </c>
      <c r="U10" s="238" t="s">
        <v>12</v>
      </c>
    </row>
    <row r="11" spans="2:21" x14ac:dyDescent="0.2">
      <c r="B11" s="88" t="s">
        <v>361</v>
      </c>
      <c r="C11" s="30" t="s">
        <v>897</v>
      </c>
      <c r="D11" s="88" t="s">
        <v>217</v>
      </c>
      <c r="E11" s="88"/>
      <c r="F11" s="420">
        <f>IF(AND(ISTEXT(Tab2DE[[#This Row],[Col1]]),ISTEXT(Tab2DE[[#This Row],[Col2]]),ISTEXT(Tab2DE[[#This Row],[Col3]]),ISTEXT(Tab2DE[[#This Row],[Col4]])),1,0)</f>
        <v>0</v>
      </c>
      <c r="G11" s="420" cm="1">
        <f t="array" ref="G11">IFERROR(INDEX(TabTurKreditPembimbing_2DE3[[Tugas Akhir]:[Desertasi]],MATCH(1,(__pns_jabatan=TabTurKreditPembimbing_2DE3[Jabatan])*(__pns_pendidikan=TabTurKreditPembimbing_2DE3[Pendidikan])*(Tab2DE[[#This Row],[Col4]]=TabTurKreditPembimbing_2DE3[Pembimbing]),0),MATCH(Tab2DE[[#This Row],[Col3]],TabTurKreditPembimbing_2DE3[[#Headers],[Tugas Akhir]:[Desertasi]],0)),0)</f>
        <v>0</v>
      </c>
      <c r="H11" s="88" t="s">
        <v>385</v>
      </c>
      <c r="I11" s="420">
        <f>IF(AND(ISTEXT(Tab2DE[[#This Row],[Col7]]),ISTEXT(Tab2DE[[#This Row],[Col1]]),ISTEXT(Tab2DE[[#This Row],[Col2]])),1,0)</f>
        <v>1</v>
      </c>
      <c r="J11" s="420">
        <f>IFERROR(IF(AND(ISTEXT(Tab2DE[[#This Row],[Col3]]),ISTEXT(Tab2DE[[#This Row],[Col4]])),0,VLOOKUP(Tab2DE[[#This Row],[Col7]],TabTurPenguji_2DE4[[Penguji]:[Kredit]],2,FALSE)),0)</f>
        <v>1</v>
      </c>
      <c r="K11" s="88" t="s">
        <v>370</v>
      </c>
      <c r="M11" s="251" t="str">
        <f>TabelUtama!H3</f>
        <v>Semester 1</v>
      </c>
      <c r="N11" s="238">
        <f>SUMPRODUCT((Tab2DE[Col1]=M11)*(Tab2DE[Col5]))</f>
        <v>1</v>
      </c>
      <c r="O11" s="238">
        <f>SUMPRODUCT((Tab2DE[Col1]=M11)*(Tab2DE[Col6]))</f>
        <v>0.5</v>
      </c>
      <c r="P11" s="238">
        <f>SUMPRODUCT((Tab2DE[Col1]=M11)*(Tab2DE[Col5]))</f>
        <v>1</v>
      </c>
      <c r="Q11" s="238">
        <f>IF(N22&gt;32,32,N22)</f>
        <v>0.5</v>
      </c>
      <c r="R11" s="238">
        <f>SUMPRODUCT((Tab2DE[Col1]=$M11)*(Tab2DE[Col8]))</f>
        <v>2</v>
      </c>
      <c r="S11" s="238">
        <f>SUMPRODUCT((Tab2DE[Col1]=$M11)*(Tab2DE[Col9]))</f>
        <v>2</v>
      </c>
      <c r="T11" s="238">
        <f>SUMPRODUCT((Tab2DE[Col1]=$M11)*(Tab2DE[Col8]))</f>
        <v>2</v>
      </c>
      <c r="U11" s="238">
        <f>N30</f>
        <v>2</v>
      </c>
    </row>
    <row r="12" spans="2:21" x14ac:dyDescent="0.2">
      <c r="B12" s="58" t="s">
        <v>362</v>
      </c>
      <c r="C12" s="421" t="s">
        <v>894</v>
      </c>
      <c r="D12" s="58" t="s">
        <v>217</v>
      </c>
      <c r="E12" s="58" t="s">
        <v>383</v>
      </c>
      <c r="F12" s="422">
        <f>IF(AND(ISTEXT(Tab2DE[[#This Row],[Col1]]),ISTEXT(Tab2DE[[#This Row],[Col2]]),ISTEXT(Tab2DE[[#This Row],[Col3]]),ISTEXT(Tab2DE[[#This Row],[Col4]])),1,0)</f>
        <v>1</v>
      </c>
      <c r="G12" s="422" cm="1">
        <f t="array" ref="G12">IFERROR(INDEX(TabTurKreditPembimbing_2DE3[[Tugas Akhir]:[Desertasi]],MATCH(1,(__pns_jabatan=TabTurKreditPembimbing_2DE3[Jabatan])*(__pns_pendidikan=TabTurKreditPembimbing_2DE3[Pendidikan])*(Tab2DE[[#This Row],[Col4]]=TabTurKreditPembimbing_2DE3[Pembimbing]),0),MATCH(Tab2DE[[#This Row],[Col3]],TabTurKreditPembimbing_2DE3[[#Headers],[Tugas Akhir]:[Desertasi]],0)),0)</f>
        <v>1</v>
      </c>
      <c r="H12" s="58"/>
      <c r="I12" s="422">
        <f>IF(AND(ISTEXT(Tab2DE[[#This Row],[Col7]]),ISTEXT(Tab2DE[[#This Row],[Col1]]),ISTEXT(Tab2DE[[#This Row],[Col2]])),1,0)</f>
        <v>0</v>
      </c>
      <c r="J12" s="422">
        <f>IFERROR(IF(AND(ISTEXT(Tab2DE[[#This Row],[Col3]]),ISTEXT(Tab2DE[[#This Row],[Col4]])),0,VLOOKUP(Tab2DE[[#This Row],[Col7]],TabTurPenguji_2DE4[[Penguji]:[Kredit]],2,FALSE)),0)</f>
        <v>0</v>
      </c>
      <c r="K12" s="58" t="s">
        <v>370</v>
      </c>
      <c r="M12" s="251" t="str">
        <f>TabelUtama!H4</f>
        <v>Semester 2</v>
      </c>
      <c r="N12" s="238">
        <f>SUMPRODUCT((Tab2DE[Col1]=M12)*(Tab2DE[Col5]))</f>
        <v>2</v>
      </c>
      <c r="O12" s="238">
        <f>SUMPRODUCT((Tab2DE[Col1]=M12)*(Tab2DE[Col6]))</f>
        <v>1.5</v>
      </c>
      <c r="P12" s="238">
        <f>SUMPRODUCT((Tab2DE[Col1]=M12)*(Tab2DE[Col5]))</f>
        <v>2</v>
      </c>
      <c r="Q12" s="238">
        <f>IF(R22&gt;32,32,R22)</f>
        <v>1.5</v>
      </c>
      <c r="R12" s="238">
        <f>SUMPRODUCT((Tab2DE[Col1]=$M12)*(Tab2DE[Col8]))</f>
        <v>0</v>
      </c>
      <c r="S12" s="238">
        <f>SUMPRODUCT((Tab2DE[Col1]=$M12)*(Tab2DE[Col9]))</f>
        <v>0</v>
      </c>
      <c r="T12" s="238">
        <f>SUMPRODUCT((Tab2DE[Col1]=$M12)*(Tab2DE[Col8]))</f>
        <v>0</v>
      </c>
      <c r="U12" s="238">
        <f>P30</f>
        <v>0</v>
      </c>
    </row>
    <row r="13" spans="2:21" x14ac:dyDescent="0.2">
      <c r="B13" s="58" t="s">
        <v>362</v>
      </c>
      <c r="C13" s="421" t="s">
        <v>895</v>
      </c>
      <c r="D13" s="58" t="s">
        <v>217</v>
      </c>
      <c r="E13" s="58" t="s">
        <v>384</v>
      </c>
      <c r="F13" s="422">
        <f>IF(AND(ISTEXT(Tab2DE[[#This Row],[Col1]]),ISTEXT(Tab2DE[[#This Row],[Col2]]),ISTEXT(Tab2DE[[#This Row],[Col3]]),ISTEXT(Tab2DE[[#This Row],[Col4]])),1,0)</f>
        <v>1</v>
      </c>
      <c r="G13" s="422" cm="1">
        <f t="array" ref="G13">IFERROR(INDEX(TabTurKreditPembimbing_2DE3[[Tugas Akhir]:[Desertasi]],MATCH(1,(__pns_jabatan=TabTurKreditPembimbing_2DE3[Jabatan])*(__pns_pendidikan=TabTurKreditPembimbing_2DE3[Pendidikan])*(Tab2DE[[#This Row],[Col4]]=TabTurKreditPembimbing_2DE3[Pembimbing]),0),MATCH(Tab2DE[[#This Row],[Col3]],TabTurKreditPembimbing_2DE3[[#Headers],[Tugas Akhir]:[Desertasi]],0)),0)</f>
        <v>0.5</v>
      </c>
      <c r="H13" s="58"/>
      <c r="I13" s="422">
        <f>IF(AND(ISTEXT(Tab2DE[[#This Row],[Col7]]),ISTEXT(Tab2DE[[#This Row],[Col1]]),ISTEXT(Tab2DE[[#This Row],[Col2]])),1,0)</f>
        <v>0</v>
      </c>
      <c r="J13" s="422">
        <f>IFERROR(IF(AND(ISTEXT(Tab2DE[[#This Row],[Col3]]),ISTEXT(Tab2DE[[#This Row],[Col4]])),0,VLOOKUP(Tab2DE[[#This Row],[Col7]],TabTurPenguji_2DE4[[Penguji]:[Kredit]],2,FALSE)),0)</f>
        <v>0</v>
      </c>
      <c r="K13" s="58" t="s">
        <v>370</v>
      </c>
    </row>
    <row r="14" spans="2:21" x14ac:dyDescent="0.2">
      <c r="M14" s="557"/>
      <c r="N14" s="554" t="s">
        <v>408</v>
      </c>
      <c r="O14" s="556"/>
      <c r="P14" s="556"/>
      <c r="Q14" s="556"/>
      <c r="R14" s="556"/>
      <c r="S14" s="556"/>
      <c r="T14" s="556"/>
      <c r="U14" s="555"/>
    </row>
    <row r="15" spans="2:21" x14ac:dyDescent="0.2">
      <c r="M15" s="558"/>
      <c r="N15" s="552" t="str">
        <f>M11</f>
        <v>Semester 1</v>
      </c>
      <c r="O15" s="552"/>
      <c r="P15" s="552"/>
      <c r="Q15" s="552"/>
      <c r="R15" s="552" t="str">
        <f>M12</f>
        <v>Semester 2</v>
      </c>
      <c r="S15" s="552"/>
      <c r="T15" s="552"/>
      <c r="U15" s="552"/>
    </row>
    <row r="16" spans="2:21" x14ac:dyDescent="0.2">
      <c r="M16" s="558"/>
      <c r="N16" s="552" t="str">
        <f>TabelUtama!D10</f>
        <v>Utama</v>
      </c>
      <c r="O16" s="552"/>
      <c r="P16" s="552" t="str">
        <f>TabelUtama!D11</f>
        <v>Pendamping</v>
      </c>
      <c r="Q16" s="552"/>
      <c r="R16" s="552" t="str">
        <f>N16</f>
        <v>Utama</v>
      </c>
      <c r="S16" s="552"/>
      <c r="T16" s="552" t="str">
        <f>P16</f>
        <v>Pendamping</v>
      </c>
      <c r="U16" s="552"/>
    </row>
    <row r="17" spans="13:21" x14ac:dyDescent="0.2">
      <c r="M17" s="559"/>
      <c r="N17" s="252" t="s">
        <v>406</v>
      </c>
      <c r="O17" s="238" t="s">
        <v>407</v>
      </c>
      <c r="P17" s="252" t="s">
        <v>406</v>
      </c>
      <c r="Q17" s="238" t="s">
        <v>407</v>
      </c>
      <c r="R17" s="252" t="s">
        <v>406</v>
      </c>
      <c r="S17" s="238" t="s">
        <v>407</v>
      </c>
      <c r="T17" s="252" t="s">
        <v>406</v>
      </c>
      <c r="U17" s="238" t="s">
        <v>407</v>
      </c>
    </row>
    <row r="18" spans="13:21" x14ac:dyDescent="0.2">
      <c r="M18" s="251" t="s">
        <v>381</v>
      </c>
      <c r="N18" s="238">
        <f>IF(SUMPRODUCT((Tab2DE[Col1]=N$15)*(Tab2DE[Col3]=$M18)*(Tab2DE[Col4]=N$16)*(Tab2DE[Col6]&gt;0)*(Tab2DE[Col10]=TabelUtama!$J$3)*(Tab2DE[Col5]))&gt;SUMPRODUCT((TabTurKreditPembimbing_2DE2[Bimbingan]='II.DE.'!$M18)*(TabTurKreditPembimbing_2DE2[Pembimbing]='II.DE.'!N$16)*(TabTurKreditPembimbing_2DE2[Maksimal])),SUMPRODUCT((TabTurKreditPembimbing_2DE2[Bimbingan]='II.DE.'!$M18)*(TabTurKreditPembimbing_2DE2[Pembimbing]='II.DE.'!N$16)*(TabTurKreditPembimbing_2DE2[Maksimal])),SUMPRODUCT((Tab2DE[Col1]=N$15)*(Tab2DE[Col3]=$M18)*(Tab2DE[Col4]=N$16)*(Tab2DE[Col6]&gt;0)*(Tab2DE[Col10]=TabelUtama!$J$3)*(Tab2DE[Col5])))</f>
        <v>0</v>
      </c>
      <c r="O18" s="238">
        <f>N18*SUMPRODUCT((TabTurKreditPembimbing_2DE2[Bimbingan]='II.DE.'!$M18)*(TabTurKreditPembimbing_2DE2[Pembimbing]='II.DE.'!N$16)*(TabTurKreditPembimbing_2DE2[Kredit]))</f>
        <v>0</v>
      </c>
      <c r="P18" s="238">
        <f>IF(SUMPRODUCT((Tab2DE[Col1]=N$15)*(Tab2DE[Col3]=$M18)*(Tab2DE[Col4]=P$16)*(Tab2DE[Col6]&gt;0)*(Tab2DE[Col10]=TabelUtama!$J$3)*(Tab2DE[Col5]))&gt;SUMPRODUCT((TabTurKreditPembimbing_2DE2[Bimbingan]='II.DE.'!$M18)*(TabTurKreditPembimbing_2DE2[Pembimbing]='II.DE.'!P$16)*(TabTurKreditPembimbing_2DE2[Maksimal])),SUMPRODUCT((TabTurKreditPembimbing_2DE2[Bimbingan]='II.DE.'!$M18)*(TabTurKreditPembimbing_2DE2[Pembimbing]='II.DE.'!P$16)*(TabTurKreditPembimbing_2DE2[Maksimal])),SUMPRODUCT((Tab2DE[Col1]=N$15)*(Tab2DE[Col3]=$M18)*(Tab2DE[Col4]=P$16)*(Tab2DE[Col6]&gt;0)*(Tab2DE[Col10]=TabelUtama!$J$3)*(Tab2DE[Col5])))</f>
        <v>0</v>
      </c>
      <c r="Q18" s="238">
        <f>P18*SUMPRODUCT((TabTurKreditPembimbing_2DE2[Bimbingan]='II.DE.'!$M18)*(TabTurKreditPembimbing_2DE2[Pembimbing]='II.DE.'!P$16)*(TabTurKreditPembimbing_2DE2[Kredit]))</f>
        <v>0</v>
      </c>
      <c r="R18" s="238">
        <f>IF(SUMPRODUCT((Tab2DE[Col1]=R$15)*(Tab2DE[Col3]=$M18)*(Tab2DE[Col4]=R$16)*(Tab2DE[Col6]&gt;0)*(Tab2DE[Col10]=TabelUtama!$J$3)*(Tab2DE[Col5]))&gt;SUMPRODUCT((TabTurKreditPembimbing_2DE2[Bimbingan]='II.DE.'!$M18)*(TabTurKreditPembimbing_2DE2[Pembimbing]='II.DE.'!R$16)*(TabTurKreditPembimbing_2DE2[Maksimal])),SUMPRODUCT((TabTurKreditPembimbing_2DE2[Bimbingan]='II.DE.'!$M18)*(TabTurKreditPembimbing_2DE2[Pembimbing]='II.DE.'!R$16)*(TabTurKreditPembimbing_2DE2[Maksimal])),SUMPRODUCT((Tab2DE[Col1]=R$15)*(Tab2DE[Col3]=$M18)*(Tab2DE[Col4]=R$16)*(Tab2DE[Col6]&gt;0)*(Tab2DE[Col10]=TabelUtama!$J$3)*(Tab2DE[Col5])))</f>
        <v>0</v>
      </c>
      <c r="S18" s="238">
        <f>R18*SUMPRODUCT((TabTurKreditPembimbing_2DE2[Bimbingan]='II.DE.'!$M18)*(TabTurKreditPembimbing_2DE2[Pembimbing]='II.DE.'!R$16)*(TabTurKreditPembimbing_2DE2[Kredit]))</f>
        <v>0</v>
      </c>
      <c r="T18" s="238">
        <f>IF(SUMPRODUCT((Tab2DE[Col1]=R$15)*(Tab2DE[Col3]=$M18)*(Tab2DE[Col4]=T$16)*(Tab2DE[Col6]&gt;0)*(Tab2DE[Col10]=TabelUtama!$J$3)*(Tab2DE[Col5]))&gt;SUMPRODUCT((TabTurKreditPembimbing_2DE2[Bimbingan]='II.DE.'!$M18)*(TabTurKreditPembimbing_2DE2[Pembimbing]='II.DE.'!T$16)*(TabTurKreditPembimbing_2DE2[Maksimal])),SUMPRODUCT((TabTurKreditPembimbing_2DE2[Bimbingan]='II.DE.'!$M18)*(TabTurKreditPembimbing_2DE2[Pembimbing]='II.DE.'!T$16)*(TabTurKreditPembimbing_2DE2[Maksimal])),SUMPRODUCT((Tab2DE[Col1]=R$15)*(Tab2DE[Col3]=$M18)*(Tab2DE[Col4]=T$16)*(Tab2DE[Col6]&gt;0)*(Tab2DE[Col10]=TabelUtama!$J$3)*(Tab2DE[Col5])))</f>
        <v>0</v>
      </c>
      <c r="U18" s="238">
        <f>T18*SUMPRODUCT((TabTurKreditPembimbing_2DE2[Bimbingan]='II.DE.'!$M18)*(TabTurKreditPembimbing_2DE2[Pembimbing]='II.DE.'!T$16)*(TabTurKreditPembimbing_2DE2[Kredit]))</f>
        <v>0</v>
      </c>
    </row>
    <row r="19" spans="13:21" x14ac:dyDescent="0.2">
      <c r="M19" s="251" t="s">
        <v>216</v>
      </c>
      <c r="N19" s="238">
        <f>IF(SUMPRODUCT((Tab2DE[Col1]=N$15)*(Tab2DE[Col3]=$M19)*(Tab2DE[Col4]=N$16)*(Tab2DE[Col6]&gt;0)*(Tab2DE[Col10]=TabelUtama!$J$3)*(Tab2DE[Col5]))&gt;SUMPRODUCT((TabTurKreditPembimbing_2DE2[Bimbingan]='II.DE.'!$M19)*(TabTurKreditPembimbing_2DE2[Pembimbing]='II.DE.'!N$16)*(TabTurKreditPembimbing_2DE2[Maksimal])),SUMPRODUCT((TabTurKreditPembimbing_2DE2[Bimbingan]='II.DE.'!$M19)*(TabTurKreditPembimbing_2DE2[Pembimbing]='II.DE.'!N$16)*(TabTurKreditPembimbing_2DE2[Maksimal])),SUMPRODUCT((Tab2DE[Col1]=N$15)*(Tab2DE[Col3]=$M19)*(Tab2DE[Col4]=N$16)*(Tab2DE[Col6]&gt;0)*(Tab2DE[Col10]=TabelUtama!$J$3)*(Tab2DE[Col5])))</f>
        <v>0</v>
      </c>
      <c r="O19" s="238">
        <f>N19*SUMPRODUCT((TabTurKreditPembimbing_2DE2[Bimbingan]='II.DE.'!$M19)*(TabTurKreditPembimbing_2DE2[Pembimbing]='II.DE.'!N$16)*(TabTurKreditPembimbing_2DE2[Kredit]))</f>
        <v>0</v>
      </c>
      <c r="P19" s="238">
        <f>IF(SUMPRODUCT((Tab2DE[Col1]=N$15)*(Tab2DE[Col3]=$M19)*(Tab2DE[Col4]=P$16)*(Tab2DE[Col6]&gt;0)*(Tab2DE[Col10]=TabelUtama!$J$3)*(Tab2DE[Col5]))&gt;SUMPRODUCT((TabTurKreditPembimbing_2DE2[Bimbingan]='II.DE.'!$M19)*(TabTurKreditPembimbing_2DE2[Pembimbing]='II.DE.'!P$16)*(TabTurKreditPembimbing_2DE2[Maksimal])),SUMPRODUCT((TabTurKreditPembimbing_2DE2[Bimbingan]='II.DE.'!$M19)*(TabTurKreditPembimbing_2DE2[Pembimbing]='II.DE.'!P$16)*(TabTurKreditPembimbing_2DE2[Maksimal])),SUMPRODUCT((Tab2DE[Col1]=N$15)*(Tab2DE[Col3]=$M19)*(Tab2DE[Col4]=P$16)*(Tab2DE[Col6]&gt;0)*(Tab2DE[Col10]=TabelUtama!$J$3)*(Tab2DE[Col5])))</f>
        <v>0</v>
      </c>
      <c r="Q19" s="238">
        <f>P19*SUMPRODUCT((TabTurKreditPembimbing_2DE2[Bimbingan]='II.DE.'!$M19)*(TabTurKreditPembimbing_2DE2[Pembimbing]='II.DE.'!P$16)*(TabTurKreditPembimbing_2DE2[Kredit]))</f>
        <v>0</v>
      </c>
      <c r="R19" s="238">
        <f>IF(SUMPRODUCT((Tab2DE[Col1]=R$15)*(Tab2DE[Col3]=$M19)*(Tab2DE[Col4]=R$16)*(Tab2DE[Col6]&gt;0)*(Tab2DE[Col10]=TabelUtama!$J$3)*(Tab2DE[Col5]))&gt;SUMPRODUCT((TabTurKreditPembimbing_2DE2[Bimbingan]='II.DE.'!$M19)*(TabTurKreditPembimbing_2DE2[Pembimbing]='II.DE.'!R$16)*(TabTurKreditPembimbing_2DE2[Maksimal])),SUMPRODUCT((TabTurKreditPembimbing_2DE2[Bimbingan]='II.DE.'!$M19)*(TabTurKreditPembimbing_2DE2[Pembimbing]='II.DE.'!R$16)*(TabTurKreditPembimbing_2DE2[Maksimal])),SUMPRODUCT((Tab2DE[Col1]=R$15)*(Tab2DE[Col3]=$M19)*(Tab2DE[Col4]=R$16)*(Tab2DE[Col6]&gt;0)*(Tab2DE[Col10]=TabelUtama!$J$3)*(Tab2DE[Col5])))</f>
        <v>0</v>
      </c>
      <c r="S19" s="238">
        <f>R19*SUMPRODUCT((TabTurKreditPembimbing_2DE2[Bimbingan]='II.DE.'!$M19)*(TabTurKreditPembimbing_2DE2[Pembimbing]='II.DE.'!R$16)*(TabTurKreditPembimbing_2DE2[Kredit]))</f>
        <v>0</v>
      </c>
      <c r="T19" s="238">
        <f>IF(SUMPRODUCT((Tab2DE[Col1]=R$15)*(Tab2DE[Col3]=$M19)*(Tab2DE[Col4]=T$16)*(Tab2DE[Col6]&gt;0)*(Tab2DE[Col10]=TabelUtama!$J$3)*(Tab2DE[Col5]))&gt;SUMPRODUCT((TabTurKreditPembimbing_2DE2[Bimbingan]='II.DE.'!$M19)*(TabTurKreditPembimbing_2DE2[Pembimbing]='II.DE.'!T$16)*(TabTurKreditPembimbing_2DE2[Maksimal])),SUMPRODUCT((TabTurKreditPembimbing_2DE2[Bimbingan]='II.DE.'!$M19)*(TabTurKreditPembimbing_2DE2[Pembimbing]='II.DE.'!T$16)*(TabTurKreditPembimbing_2DE2[Maksimal])),SUMPRODUCT((Tab2DE[Col1]=R$15)*(Tab2DE[Col3]=$M19)*(Tab2DE[Col4]=T$16)*(Tab2DE[Col6]&gt;0)*(Tab2DE[Col10]=TabelUtama!$J$3)*(Tab2DE[Col5])))</f>
        <v>0</v>
      </c>
      <c r="U19" s="238">
        <f>T19*SUMPRODUCT((TabTurKreditPembimbing_2DE2[Bimbingan]='II.DE.'!$M19)*(TabTurKreditPembimbing_2DE2[Pembimbing]='II.DE.'!T$16)*(TabTurKreditPembimbing_2DE2[Kredit]))</f>
        <v>0</v>
      </c>
    </row>
    <row r="20" spans="13:21" x14ac:dyDescent="0.2">
      <c r="M20" s="251" t="s">
        <v>217</v>
      </c>
      <c r="N20" s="238">
        <f>IF(SUMPRODUCT((Tab2DE[Col1]=N$15)*(Tab2DE[Col3]=$M20)*(Tab2DE[Col4]=N$16)*(Tab2DE[Col6]&gt;0)*(Tab2DE[Col10]=TabelUtama!$J$3)*(Tab2DE[Col5]))&gt;SUMPRODUCT((TabTurKreditPembimbing_2DE2[Bimbingan]='II.DE.'!$M20)*(TabTurKreditPembimbing_2DE2[Pembimbing]='II.DE.'!N$16)*(TabTurKreditPembimbing_2DE2[Maksimal])),SUMPRODUCT((TabTurKreditPembimbing_2DE2[Bimbingan]='II.DE.'!$M20)*(TabTurKreditPembimbing_2DE2[Pembimbing]='II.DE.'!N$16)*(TabTurKreditPembimbing_2DE2[Maksimal])),SUMPRODUCT((Tab2DE[Col1]=N$15)*(Tab2DE[Col3]=$M20)*(Tab2DE[Col4]=N$16)*(Tab2DE[Col6]&gt;0)*(Tab2DE[Col10]=TabelUtama!$J$3)*(Tab2DE[Col5])))</f>
        <v>0</v>
      </c>
      <c r="O20" s="238">
        <f>N20*SUMPRODUCT((TabTurKreditPembimbing_2DE2[Bimbingan]='II.DE.'!$M20)*(TabTurKreditPembimbing_2DE2[Pembimbing]='II.DE.'!N$16)*(TabTurKreditPembimbing_2DE2[Kredit]))</f>
        <v>0</v>
      </c>
      <c r="P20" s="238">
        <f>IF(SUMPRODUCT((Tab2DE[Col1]=N$15)*(Tab2DE[Col3]=$M20)*(Tab2DE[Col4]=P$16)*(Tab2DE[Col6]&gt;0)*(Tab2DE[Col10]=TabelUtama!$J$3)*(Tab2DE[Col5]))&gt;SUMPRODUCT((TabTurKreditPembimbing_2DE2[Bimbingan]='II.DE.'!$M20)*(TabTurKreditPembimbing_2DE2[Pembimbing]='II.DE.'!P$16)*(TabTurKreditPembimbing_2DE2[Maksimal])),SUMPRODUCT((TabTurKreditPembimbing_2DE2[Bimbingan]='II.DE.'!$M20)*(TabTurKreditPembimbing_2DE2[Pembimbing]='II.DE.'!P$16)*(TabTurKreditPembimbing_2DE2[Maksimal])),SUMPRODUCT((Tab2DE[Col1]=N$15)*(Tab2DE[Col3]=$M20)*(Tab2DE[Col4]=P$16)*(Tab2DE[Col6]&gt;0)*(Tab2DE[Col10]=TabelUtama!$J$3)*(Tab2DE[Col5])))</f>
        <v>1</v>
      </c>
      <c r="Q20" s="238">
        <f>P20*SUMPRODUCT((TabTurKreditPembimbing_2DE2[Bimbingan]='II.DE.'!$M20)*(TabTurKreditPembimbing_2DE2[Pembimbing]='II.DE.'!P$16)*(TabTurKreditPembimbing_2DE2[Kredit]))</f>
        <v>0.5</v>
      </c>
      <c r="R20" s="238">
        <f>IF(SUMPRODUCT((Tab2DE[Col1]=R$15)*(Tab2DE[Col3]=$M20)*(Tab2DE[Col4]=R$16)*(Tab2DE[Col6]&gt;0)*(Tab2DE[Col10]=TabelUtama!$J$3)*(Tab2DE[Col5]))&gt;SUMPRODUCT((TabTurKreditPembimbing_2DE2[Bimbingan]='II.DE.'!$M20)*(TabTurKreditPembimbing_2DE2[Pembimbing]='II.DE.'!R$16)*(TabTurKreditPembimbing_2DE2[Maksimal])),SUMPRODUCT((TabTurKreditPembimbing_2DE2[Bimbingan]='II.DE.'!$M20)*(TabTurKreditPembimbing_2DE2[Pembimbing]='II.DE.'!R$16)*(TabTurKreditPembimbing_2DE2[Maksimal])),SUMPRODUCT((Tab2DE[Col1]=R$15)*(Tab2DE[Col3]=$M20)*(Tab2DE[Col4]=R$16)*(Tab2DE[Col6]&gt;0)*(Tab2DE[Col10]=TabelUtama!$J$3)*(Tab2DE[Col5])))</f>
        <v>1</v>
      </c>
      <c r="S20" s="238">
        <f>R20*SUMPRODUCT((TabTurKreditPembimbing_2DE2[Bimbingan]='II.DE.'!$M20)*(TabTurKreditPembimbing_2DE2[Pembimbing]='II.DE.'!R$16)*(TabTurKreditPembimbing_2DE2[Kredit]))</f>
        <v>1</v>
      </c>
      <c r="T20" s="238">
        <f>IF(SUMPRODUCT((Tab2DE[Col1]=R$15)*(Tab2DE[Col3]=$M20)*(Tab2DE[Col4]=T$16)*(Tab2DE[Col6]&gt;0)*(Tab2DE[Col10]=TabelUtama!$J$3)*(Tab2DE[Col5]))&gt;SUMPRODUCT((TabTurKreditPembimbing_2DE2[Bimbingan]='II.DE.'!$M20)*(TabTurKreditPembimbing_2DE2[Pembimbing]='II.DE.'!T$16)*(TabTurKreditPembimbing_2DE2[Maksimal])),SUMPRODUCT((TabTurKreditPembimbing_2DE2[Bimbingan]='II.DE.'!$M20)*(TabTurKreditPembimbing_2DE2[Pembimbing]='II.DE.'!T$16)*(TabTurKreditPembimbing_2DE2[Maksimal])),SUMPRODUCT((Tab2DE[Col1]=R$15)*(Tab2DE[Col3]=$M20)*(Tab2DE[Col4]=T$16)*(Tab2DE[Col6]&gt;0)*(Tab2DE[Col10]=TabelUtama!$J$3)*(Tab2DE[Col5])))</f>
        <v>1</v>
      </c>
      <c r="U20" s="238">
        <f>T20*SUMPRODUCT((TabTurKreditPembimbing_2DE2[Bimbingan]='II.DE.'!$M20)*(TabTurKreditPembimbing_2DE2[Pembimbing]='II.DE.'!T$16)*(TabTurKreditPembimbing_2DE2[Kredit]))</f>
        <v>0.5</v>
      </c>
    </row>
    <row r="21" spans="13:21" x14ac:dyDescent="0.2">
      <c r="M21" s="251" t="s">
        <v>382</v>
      </c>
      <c r="N21" s="238">
        <f>IF(SUMPRODUCT((Tab2DE[Col1]=N$15)*(Tab2DE[Col3]=$M21)*(Tab2DE[Col4]=N$16)*(Tab2DE[Col6]&gt;0)*(Tab2DE[Col10]=TabelUtama!$J$3)*(Tab2DE[Col5]))&gt;SUMPRODUCT((TabTurKreditPembimbing_2DE2[Bimbingan]='II.DE.'!$M21)*(TabTurKreditPembimbing_2DE2[Pembimbing]='II.DE.'!N$16)*(TabTurKreditPembimbing_2DE2[Maksimal])),SUMPRODUCT((TabTurKreditPembimbing_2DE2[Bimbingan]='II.DE.'!$M21)*(TabTurKreditPembimbing_2DE2[Pembimbing]='II.DE.'!N$16)*(TabTurKreditPembimbing_2DE2[Maksimal])),SUMPRODUCT((Tab2DE[Col1]=N$15)*(Tab2DE[Col3]=$M21)*(Tab2DE[Col4]=N$16)*(Tab2DE[Col6]&gt;0)*(Tab2DE[Col10]=TabelUtama!$J$3)*(Tab2DE[Col5])))</f>
        <v>0</v>
      </c>
      <c r="O21" s="238">
        <f>N21*SUMPRODUCT((TabTurKreditPembimbing_2DE2[Bimbingan]='II.DE.'!$M21)*(TabTurKreditPembimbing_2DE2[Pembimbing]='II.DE.'!N$16)*(TabTurKreditPembimbing_2DE2[Kredit]))</f>
        <v>0</v>
      </c>
      <c r="P21" s="238">
        <f>IF(SUMPRODUCT((Tab2DE[Col1]=N$15)*(Tab2DE[Col3]=$M21)*(Tab2DE[Col4]=P$16)*(Tab2DE[Col6]&gt;0)*(Tab2DE[Col10]=TabelUtama!$J$3)*(Tab2DE[Col5]))&gt;SUMPRODUCT((TabTurKreditPembimbing_2DE2[Bimbingan]='II.DE.'!$M21)*(TabTurKreditPembimbing_2DE2[Pembimbing]='II.DE.'!P$16)*(TabTurKreditPembimbing_2DE2[Maksimal])),SUMPRODUCT((TabTurKreditPembimbing_2DE2[Bimbingan]='II.DE.'!$M21)*(TabTurKreditPembimbing_2DE2[Pembimbing]='II.DE.'!P$16)*(TabTurKreditPembimbing_2DE2[Maksimal])),SUMPRODUCT((Tab2DE[Col1]=N$15)*(Tab2DE[Col3]=$M21)*(Tab2DE[Col4]=P$16)*(Tab2DE[Col6]&gt;0)*(Tab2DE[Col10]=TabelUtama!$J$3)*(Tab2DE[Col5])))</f>
        <v>0</v>
      </c>
      <c r="Q21" s="238">
        <f>P21*SUMPRODUCT((TabTurKreditPembimbing_2DE2[Bimbingan]='II.DE.'!$M21)*(TabTurKreditPembimbing_2DE2[Pembimbing]='II.DE.'!P$16)*(TabTurKreditPembimbing_2DE2[Kredit]))</f>
        <v>0</v>
      </c>
      <c r="R21" s="238">
        <f>IF(SUMPRODUCT((Tab2DE[Col1]=R$15)*(Tab2DE[Col3]=$M21)*(Tab2DE[Col4]=R$16)*(Tab2DE[Col6]&gt;0)*(Tab2DE[Col10]=TabelUtama!$J$3)*(Tab2DE[Col5]))&gt;SUMPRODUCT((TabTurKreditPembimbing_2DE2[Bimbingan]='II.DE.'!$M21)*(TabTurKreditPembimbing_2DE2[Pembimbing]='II.DE.'!R$16)*(TabTurKreditPembimbing_2DE2[Maksimal])),SUMPRODUCT((TabTurKreditPembimbing_2DE2[Bimbingan]='II.DE.'!$M21)*(TabTurKreditPembimbing_2DE2[Pembimbing]='II.DE.'!R$16)*(TabTurKreditPembimbing_2DE2[Maksimal])),SUMPRODUCT((Tab2DE[Col1]=R$15)*(Tab2DE[Col3]=$M21)*(Tab2DE[Col4]=R$16)*(Tab2DE[Col6]&gt;0)*(Tab2DE[Col10]=TabelUtama!$J$3)*(Tab2DE[Col5])))</f>
        <v>0</v>
      </c>
      <c r="S21" s="238">
        <f>R21*SUMPRODUCT((TabTurKreditPembimbing_2DE2[Bimbingan]='II.DE.'!$M21)*(TabTurKreditPembimbing_2DE2[Pembimbing]='II.DE.'!R$16)*(TabTurKreditPembimbing_2DE2[Kredit]))</f>
        <v>0</v>
      </c>
      <c r="T21" s="238">
        <f>IF(SUMPRODUCT((Tab2DE[Col1]=R$15)*(Tab2DE[Col3]=$M21)*(Tab2DE[Col4]=T$16)*(Tab2DE[Col6]&gt;0)*(Tab2DE[Col10]=TabelUtama!$J$3)*(Tab2DE[Col5]))&gt;SUMPRODUCT((TabTurKreditPembimbing_2DE2[Bimbingan]='II.DE.'!$M21)*(TabTurKreditPembimbing_2DE2[Pembimbing]='II.DE.'!T$16)*(TabTurKreditPembimbing_2DE2[Maksimal])),SUMPRODUCT((TabTurKreditPembimbing_2DE2[Bimbingan]='II.DE.'!$M21)*(TabTurKreditPembimbing_2DE2[Pembimbing]='II.DE.'!T$16)*(TabTurKreditPembimbing_2DE2[Maksimal])),SUMPRODUCT((Tab2DE[Col1]=R$15)*(Tab2DE[Col3]=$M21)*(Tab2DE[Col4]=T$16)*(Tab2DE[Col6]&gt;0)*(Tab2DE[Col10]=TabelUtama!$J$3)*(Tab2DE[Col5])))</f>
        <v>0</v>
      </c>
      <c r="U21" s="238">
        <f>T21*SUMPRODUCT((TabTurKreditPembimbing_2DE2[Bimbingan]='II.DE.'!$M21)*(TabTurKreditPembimbing_2DE2[Pembimbing]='II.DE.'!T$16)*(TabTurKreditPembimbing_2DE2[Kredit]))</f>
        <v>0</v>
      </c>
    </row>
    <row r="22" spans="13:21" x14ac:dyDescent="0.2">
      <c r="M22" s="251" t="s">
        <v>409</v>
      </c>
      <c r="N22" s="552">
        <f>SUM(O18:O21,Q18:Q21)</f>
        <v>0.5</v>
      </c>
      <c r="O22" s="552"/>
      <c r="P22" s="552"/>
      <c r="Q22" s="552"/>
      <c r="R22" s="552">
        <f>SUM(S18:S21,U18:U21)</f>
        <v>1.5</v>
      </c>
      <c r="S22" s="552"/>
      <c r="T22" s="552"/>
      <c r="U22" s="552"/>
    </row>
    <row r="23" spans="13:21" x14ac:dyDescent="0.2">
      <c r="N23" s="2"/>
      <c r="O23" s="2"/>
      <c r="P23" s="2"/>
      <c r="Q23" s="2"/>
    </row>
    <row r="24" spans="13:21" x14ac:dyDescent="0.2">
      <c r="M24" s="552"/>
      <c r="N24" s="552" t="s">
        <v>410</v>
      </c>
      <c r="O24" s="552"/>
      <c r="P24" s="552"/>
      <c r="Q24" s="552"/>
    </row>
    <row r="25" spans="13:21" x14ac:dyDescent="0.2">
      <c r="M25" s="552"/>
      <c r="N25" s="552" t="str">
        <f>N15</f>
        <v>Semester 1</v>
      </c>
      <c r="O25" s="552"/>
      <c r="P25" s="552" t="str">
        <f>R15</f>
        <v>Semester 2</v>
      </c>
      <c r="Q25" s="552"/>
    </row>
    <row r="26" spans="13:21" x14ac:dyDescent="0.2">
      <c r="M26" s="552"/>
      <c r="N26" s="252" t="s">
        <v>406</v>
      </c>
      <c r="O26" s="238" t="s">
        <v>407</v>
      </c>
      <c r="P26" s="252" t="s">
        <v>406</v>
      </c>
      <c r="Q26" s="238" t="s">
        <v>407</v>
      </c>
    </row>
    <row r="27" spans="13:21" x14ac:dyDescent="0.2">
      <c r="M27" s="251" t="s">
        <v>385</v>
      </c>
      <c r="N27" s="238">
        <f>IF(SUMPRODUCT((Tab2DE[Col1]=N$25)*(Tab2DE[Col7]=$M27)*(Tab2DE[Col9]&gt;0)*(Tab2DE[Col8]))&gt;VLOOKUP($M27,TabTurPenguji_2DE4[],3,FALSE),VLOOKUP($M27,TabTurPenguji_2DE4[],3,FALSE),SUMPRODUCT((Tab2DE[Col1]=N$25)*(Tab2DE[Col7]=$M27)*(Tab2DE[Col9]&gt;0)*(Tab2DE[Col8])))</f>
        <v>2</v>
      </c>
      <c r="O27" s="238">
        <f>N27*SUMPRODUCT((TabTurPenguji_2DE4[Penguji]='II.DE.'!$M27)*(TabTurPenguji_2DE4[Kredit]))</f>
        <v>2</v>
      </c>
      <c r="P27" s="238">
        <f>IF(SUMPRODUCT((Tab2DE[Col1]=P$25)*(Tab2DE[Col7]=$M27)*(Tab2DE[Col9]&gt;0)*(Tab2DE[Col8]))&gt;VLOOKUP($M27,TabTurPenguji_2DE4[],3,FALSE),VLOOKUP($M27,TabTurPenguji_2DE4[],3,FALSE),SUMPRODUCT((Tab2DE[Col1]=P$25)*(Tab2DE[Col7]=$M27)*(Tab2DE[Col9]&gt;0)*(Tab2DE[Col8])))</f>
        <v>0</v>
      </c>
      <c r="Q27" s="238">
        <f>P27*SUMPRODUCT((TabTurPenguji_2DE4[Penguji]='II.DE.'!$M27)*(TabTurPenguji_2DE4[Kredit]))</f>
        <v>0</v>
      </c>
    </row>
    <row r="28" spans="13:21" x14ac:dyDescent="0.2">
      <c r="M28" s="251" t="s">
        <v>386</v>
      </c>
      <c r="N28" s="238">
        <f>IF(SUMPRODUCT((Tab2DE[Col1]=N$25)*(Tab2DE[Col7]=$M28)*(Tab2DE[Col9]&gt;0)*(Tab2DE[Col8]))&gt;VLOOKUP($M28,TabTurPenguji_2DE4[],3,FALSE),VLOOKUP($M28,TabTurPenguji_2DE4[],3,FALSE),SUMPRODUCT((Tab2DE[Col1]=N$25)*(Tab2DE[Col7]=$M28)*(Tab2DE[Col9]&gt;0)*(Tab2DE[Col8])))</f>
        <v>0</v>
      </c>
      <c r="O28" s="238">
        <f>N28*SUMPRODUCT((TabTurPenguji_2DE4[Penguji]='II.DE.'!$M28)*(TabTurPenguji_2DE4[Kredit]))</f>
        <v>0</v>
      </c>
      <c r="P28" s="238">
        <f>IF(SUMPRODUCT((Tab2DE[Col1]=P$25)*(Tab2DE[Col7]=$M28)*(Tab2DE[Col9]&gt;0)*(Tab2DE[Col8]))&gt;VLOOKUP($M28,TabTurPenguji_2DE4[],3,FALSE),VLOOKUP($M28,TabTurPenguji_2DE4[],3,FALSE),SUMPRODUCT((Tab2DE[Col1]=P$25)*(Tab2DE[Col7]=$M28)*(Tab2DE[Col9]&gt;0)*(Tab2DE[Col8])))</f>
        <v>0</v>
      </c>
      <c r="Q28" s="238">
        <f>P28*SUMPRODUCT((TabTurPenguji_2DE4[Penguji]='II.DE.'!$M28)*(TabTurPenguji_2DE4[Kredit]))</f>
        <v>0</v>
      </c>
    </row>
    <row r="29" spans="13:21" x14ac:dyDescent="0.2">
      <c r="M29" s="251" t="s">
        <v>387</v>
      </c>
      <c r="N29" s="238">
        <f>IF(SUMPRODUCT((Tab2DE[Col1]=N$25)*(Tab2DE[Col7]=$M29)*(Tab2DE[Col9]&gt;0)*(Tab2DE[Col8]))&gt;VLOOKUP($M29,TabTurPenguji_2DE4[],3,FALSE),VLOOKUP($M29,TabTurPenguji_2DE4[],3,FALSE),SUMPRODUCT((Tab2DE[Col1]=N$25)*(Tab2DE[Col7]=$M29)*(Tab2DE[Col9]&gt;0)*(Tab2DE[Col8])))</f>
        <v>0</v>
      </c>
      <c r="O29" s="238">
        <f>N29*SUMPRODUCT((TabTurPenguji_2DE4[Penguji]='II.DE.'!$M29)*(TabTurPenguji_2DE4[Kredit]))</f>
        <v>0</v>
      </c>
      <c r="P29" s="238">
        <f>IF(SUMPRODUCT((Tab2DE[Col1]=P$25)*(Tab2DE[Col7]=$M29)*(Tab2DE[Col9]&gt;0)*(Tab2DE[Col8]))&gt;VLOOKUP($M29,TabTurPenguji_2DE4[],3,FALSE),VLOOKUP($M29,TabTurPenguji_2DE4[],3,FALSE),SUMPRODUCT((Tab2DE[Col1]=P$25)*(Tab2DE[Col7]=$M29)*(Tab2DE[Col9]&gt;0)*(Tab2DE[Col8])))</f>
        <v>0</v>
      </c>
      <c r="Q29" s="238">
        <f>P29*SUMPRODUCT((TabTurPenguji_2DE4[Penguji]='II.DE.'!$M29)*(TabTurPenguji_2DE4[Kredit]))</f>
        <v>0</v>
      </c>
    </row>
    <row r="30" spans="13:21" x14ac:dyDescent="0.2">
      <c r="M30" s="251" t="s">
        <v>409</v>
      </c>
      <c r="N30" s="552">
        <f>SUM(O27:O29)</f>
        <v>2</v>
      </c>
      <c r="O30" s="552"/>
      <c r="P30" s="552">
        <f>SUM(Q27:Q29)</f>
        <v>0</v>
      </c>
      <c r="Q30" s="552"/>
    </row>
    <row r="32" spans="13:21" x14ac:dyDescent="0.2">
      <c r="M32" s="242" t="s">
        <v>721</v>
      </c>
      <c r="N32" s="241"/>
      <c r="O32" s="242"/>
      <c r="P32" s="242"/>
      <c r="Q32" s="242"/>
      <c r="R32" s="242"/>
      <c r="S32" s="242"/>
      <c r="T32" s="242"/>
      <c r="U32" s="241"/>
    </row>
  </sheetData>
  <mergeCells count="29">
    <mergeCell ref="T9:U9"/>
    <mergeCell ref="K5:K6"/>
    <mergeCell ref="B5:B6"/>
    <mergeCell ref="C5:C6"/>
    <mergeCell ref="D5:D6"/>
    <mergeCell ref="E5:G5"/>
    <mergeCell ref="H5:J5"/>
    <mergeCell ref="N30:O30"/>
    <mergeCell ref="P30:Q30"/>
    <mergeCell ref="N22:Q22"/>
    <mergeCell ref="R22:U22"/>
    <mergeCell ref="N25:O25"/>
    <mergeCell ref="P25:Q25"/>
    <mergeCell ref="M24:M26"/>
    <mergeCell ref="N24:Q24"/>
    <mergeCell ref="M14:M17"/>
    <mergeCell ref="N14:U14"/>
    <mergeCell ref="N5:U5"/>
    <mergeCell ref="N16:O16"/>
    <mergeCell ref="P16:Q16"/>
    <mergeCell ref="R16:S16"/>
    <mergeCell ref="T16:U16"/>
    <mergeCell ref="N15:Q15"/>
    <mergeCell ref="R6:U6"/>
    <mergeCell ref="N6:Q6"/>
    <mergeCell ref="R15:U15"/>
    <mergeCell ref="N9:O9"/>
    <mergeCell ref="P9:Q9"/>
    <mergeCell ref="R9:S9"/>
  </mergeCells>
  <dataValidations count="5">
    <dataValidation type="list" allowBlank="1" showInputMessage="1" showErrorMessage="1" sqref="M18:M21 D8:D13" xr:uid="{00000000-0002-0000-0F00-000001000000}">
      <formula1>TabutBimbinganIsi</formula1>
    </dataValidation>
    <dataValidation type="list" allowBlank="1" showInputMessage="1" showErrorMessage="1" sqref="M27:M29 H8:H13" xr:uid="{00000000-0002-0000-0F00-000003000000}">
      <formula1>TabutPengujiIsi</formula1>
    </dataValidation>
    <dataValidation type="list" allowBlank="1" showInputMessage="1" showErrorMessage="1" sqref="B8:B13" xr:uid="{00000000-0002-0000-0F00-000000000000}">
      <formula1>TabutKalenderIsi</formula1>
    </dataValidation>
    <dataValidation type="list" allowBlank="1" showInputMessage="1" showErrorMessage="1" sqref="E8:E13" xr:uid="{00000000-0002-0000-0F00-000002000000}">
      <formula1>TabutPembimbingIsi</formula1>
    </dataValidation>
    <dataValidation type="list" allowBlank="1" showInputMessage="1" showErrorMessage="1" sqref="K8:K13" xr:uid="{00000000-0002-0000-0F00-000004000000}">
      <formula1>TabutPilihanIsi</formula1>
    </dataValidation>
  </dataValidations>
  <pageMargins left="0.7" right="0.7" top="0.75" bottom="0.75" header="0.3" footer="0.3"/>
  <pageSetup paperSize="150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8"/>
  <sheetViews>
    <sheetView workbookViewId="0">
      <selection activeCell="J12" sqref="J12"/>
    </sheetView>
  </sheetViews>
  <sheetFormatPr baseColWidth="10" defaultColWidth="9.1640625" defaultRowHeight="15" x14ac:dyDescent="0.2"/>
  <cols>
    <col min="1" max="1" width="2.5" style="1" customWidth="1"/>
    <col min="2" max="2" width="12.5" style="1" customWidth="1"/>
    <col min="3" max="3" width="44.5" style="1" customWidth="1"/>
    <col min="4" max="5" width="7.6640625" style="1" customWidth="1"/>
    <col min="6" max="6" width="11" style="1" customWidth="1"/>
    <col min="7" max="7" width="2.5" style="1" customWidth="1"/>
    <col min="8" max="8" width="14.83203125" style="1" customWidth="1"/>
    <col min="9" max="16384" width="9.1640625" style="1"/>
  </cols>
  <sheetData>
    <row r="1" spans="1:12" x14ac:dyDescent="0.2">
      <c r="A1" s="275" t="s">
        <v>412</v>
      </c>
      <c r="B1" s="26" t="s">
        <v>356</v>
      </c>
      <c r="C1" s="26"/>
      <c r="D1" s="27"/>
      <c r="E1" s="27"/>
      <c r="F1" s="27"/>
      <c r="G1" s="27"/>
    </row>
    <row r="2" spans="1:12" x14ac:dyDescent="0.2">
      <c r="B2" s="25" t="s">
        <v>87</v>
      </c>
      <c r="C2" s="26"/>
      <c r="D2" s="28"/>
      <c r="E2" s="28"/>
      <c r="F2" s="28"/>
      <c r="G2" s="28"/>
    </row>
    <row r="3" spans="1:12" x14ac:dyDescent="0.2">
      <c r="B3" s="315" t="str">
        <f>INDEX(TabRef2[],MATCH($B$2,TabRef2[Column3],0),4)</f>
        <v>Membina kegiatan mahasiswa di bidang akademik dan kemahasiswaan, termasuk dalam kegiatan ini adalah membimbing mahasiswa  menghasilkan produk saintifik (setiap semester)</v>
      </c>
      <c r="C3" s="300"/>
      <c r="D3" s="300"/>
      <c r="E3" s="300"/>
      <c r="F3" s="300"/>
      <c r="G3" s="300"/>
    </row>
    <row r="5" spans="1:12" x14ac:dyDescent="0.2">
      <c r="B5" s="47" t="s">
        <v>411</v>
      </c>
      <c r="C5" s="47" t="s">
        <v>364</v>
      </c>
      <c r="D5" s="47" t="s">
        <v>405</v>
      </c>
      <c r="E5" s="47" t="s">
        <v>12</v>
      </c>
      <c r="F5" s="47" t="s">
        <v>372</v>
      </c>
      <c r="H5" s="243"/>
      <c r="I5" s="554" t="s">
        <v>420</v>
      </c>
      <c r="J5" s="556"/>
      <c r="K5" s="556"/>
      <c r="L5" s="555"/>
    </row>
    <row r="6" spans="1:12" ht="15" hidden="1" customHeight="1" x14ac:dyDescent="0.2">
      <c r="B6" s="50" t="s">
        <v>722</v>
      </c>
      <c r="C6" s="50" t="s">
        <v>723</v>
      </c>
      <c r="D6" s="50" t="s">
        <v>724</v>
      </c>
      <c r="E6" s="50" t="s">
        <v>725</v>
      </c>
      <c r="F6" s="50" t="s">
        <v>726</v>
      </c>
      <c r="H6" s="244"/>
      <c r="I6" s="238"/>
      <c r="J6" s="238"/>
      <c r="K6" s="238"/>
      <c r="L6" s="238"/>
    </row>
    <row r="7" spans="1:12" hidden="1" x14ac:dyDescent="0.2">
      <c r="B7" s="238"/>
      <c r="C7" s="251"/>
      <c r="D7" s="238">
        <f>IF(AND(ISTEXT(Tab2F[[#This Row],[Col1]]),ISTEXT(Tab2F[[#This Row],[Col2]])),1,0)</f>
        <v>0</v>
      </c>
      <c r="E7" s="238">
        <f>Tab2F[[#This Row],[Col3]]*VLOOKUP($A$1,TabTur_2BCFGI[[Komponen]:[Kredit]],2,FALSE)</f>
        <v>0</v>
      </c>
      <c r="F7" s="238"/>
      <c r="H7" s="244"/>
      <c r="I7" s="238"/>
      <c r="J7" s="238"/>
      <c r="K7" s="238"/>
      <c r="L7" s="238"/>
    </row>
    <row r="8" spans="1:12" x14ac:dyDescent="0.2">
      <c r="B8" s="49"/>
      <c r="C8" s="22"/>
      <c r="D8" s="238">
        <f>IF(AND(ISTEXT(Tab2F[[#This Row],[Col1]]),ISTEXT(Tab2F[[#This Row],[Col2]])),1,0)</f>
        <v>0</v>
      </c>
      <c r="E8" s="238">
        <f>Tab2F[[#This Row],[Col3]]*VLOOKUP($A$1,TabTur_2BCFGI[[Komponen]:[Kredit]],2,FALSE)</f>
        <v>0</v>
      </c>
      <c r="F8" s="49" t="s">
        <v>370</v>
      </c>
      <c r="H8" s="244"/>
      <c r="I8" s="552" t="s">
        <v>401</v>
      </c>
      <c r="J8" s="552"/>
      <c r="K8" s="552" t="s">
        <v>402</v>
      </c>
      <c r="L8" s="552"/>
    </row>
    <row r="9" spans="1:12" x14ac:dyDescent="0.2">
      <c r="H9" s="245"/>
      <c r="I9" s="238" t="s">
        <v>405</v>
      </c>
      <c r="J9" s="238" t="s">
        <v>12</v>
      </c>
      <c r="K9" s="238" t="s">
        <v>405</v>
      </c>
      <c r="L9" s="238" t="s">
        <v>12</v>
      </c>
    </row>
    <row r="10" spans="1:12" x14ac:dyDescent="0.2">
      <c r="H10" s="238" t="str">
        <f>TabelUtama!H3</f>
        <v>Semester 1</v>
      </c>
      <c r="I10" s="238">
        <f>SUMPRODUCT((Tab2F[Col1]=$H10)*(Tab2F[Col3]))</f>
        <v>0</v>
      </c>
      <c r="J10" s="238">
        <f>SUMPRODUCT((Tab2F[Col1]=$H$10)*(Tab2F[Col4]))</f>
        <v>0</v>
      </c>
      <c r="K10" s="238">
        <f>SUMPRODUCT((Tab2F[Col1]=H10)*(Tab2F[Col5]=TabelUtama!$J$3)*(Tab2F[Col3]))</f>
        <v>0</v>
      </c>
      <c r="L10" s="238">
        <f>J16</f>
        <v>0</v>
      </c>
    </row>
    <row r="11" spans="1:12" x14ac:dyDescent="0.2">
      <c r="H11" s="238" t="str">
        <f>TabelUtama!H4</f>
        <v>Semester 2</v>
      </c>
      <c r="I11" s="238">
        <f>SUMPRODUCT((Tab2F[Col1]=$H11)*(Tab2F[Col3]))</f>
        <v>0</v>
      </c>
      <c r="J11" s="238">
        <f>SUMPRODUCT((Tab2F[Col1]=$H$11)*(Tab2F[Col4]))</f>
        <v>0</v>
      </c>
      <c r="K11" s="238">
        <f>SUMPRODUCT((Tab2F[Col1]=H11)*(Tab2F[Col5]=TabelUtama!$J$3)*(Tab2F[Col3]))</f>
        <v>0</v>
      </c>
      <c r="L11" s="238">
        <f>L16</f>
        <v>0</v>
      </c>
    </row>
    <row r="12" spans="1:12" x14ac:dyDescent="0.2">
      <c r="B12" s="27"/>
      <c r="C12" s="27"/>
      <c r="D12" s="27"/>
      <c r="E12" s="27"/>
      <c r="F12" s="27"/>
    </row>
    <row r="13" spans="1:12" x14ac:dyDescent="0.2">
      <c r="I13" s="552" t="s">
        <v>422</v>
      </c>
      <c r="J13" s="552"/>
      <c r="K13" s="552"/>
      <c r="L13" s="552"/>
    </row>
    <row r="14" spans="1:12" x14ac:dyDescent="0.2">
      <c r="I14" s="552" t="str">
        <f>H10</f>
        <v>Semester 1</v>
      </c>
      <c r="J14" s="552"/>
      <c r="K14" s="552" t="str">
        <f>H11</f>
        <v>Semester 2</v>
      </c>
      <c r="L14" s="552"/>
    </row>
    <row r="15" spans="1:12" x14ac:dyDescent="0.2">
      <c r="I15" s="238" t="s">
        <v>421</v>
      </c>
      <c r="J15" s="238" t="s">
        <v>407</v>
      </c>
      <c r="K15" s="238" t="s">
        <v>421</v>
      </c>
      <c r="L15" s="238" t="s">
        <v>407</v>
      </c>
    </row>
    <row r="16" spans="1:12" x14ac:dyDescent="0.2">
      <c r="I16" s="238">
        <f>IF(SUMPRODUCT((Tab2F[Col1]=I$14)*(Tab2F[Col5]=TabelUtama!$J$3)*(Tab2F[Col4]))&gt;VLOOKUP($A$1,TabTur_2BCFGI[],3,FALSE),VLOOKUP($A$1,TabTur_2BCFGI[],3,FALSE),(SUMPRODUCT((Tab2F[Col1]=I$14)*(Tab2F[Col5]=TabelUtama!$J$3)*(Tab2F[Col3]))))</f>
        <v>0</v>
      </c>
      <c r="J16" s="238">
        <f>I16*VLOOKUP($A$1,TabTur_2BCFGI[[Komponen]:[Kredit]],2,FALSE)</f>
        <v>0</v>
      </c>
      <c r="K16" s="238">
        <f>IF(SUMPRODUCT((Tab2F[Col1]=K$14)*(Tab2F[Col5]=TabelUtama!$J$3)*(Tab2F[Col4]))&gt;VLOOKUP($A$1,TabTur_2BCFGI[],3,FALSE),VLOOKUP($A$1,TabTur_2BCFGI[],3,FALSE),(SUMPRODUCT((Tab2F[Col1]=K$14)*(Tab2F[Col5]=TabelUtama!$J$3)*(Tab2F[Col3]))))</f>
        <v>0</v>
      </c>
      <c r="L16" s="238">
        <f>K16*VLOOKUP($A$1,TabTur_2BCFGI[[Komponen]:[Kredit]],2,FALSE)</f>
        <v>0</v>
      </c>
    </row>
    <row r="18" spans="2:16" s="27" customFormat="1" x14ac:dyDescent="0.2">
      <c r="B18" s="1"/>
      <c r="C18" s="1"/>
      <c r="D18" s="1"/>
      <c r="E18" s="1"/>
      <c r="F18" s="1"/>
      <c r="H18" s="262" t="s">
        <v>721</v>
      </c>
      <c r="I18" s="263"/>
      <c r="J18" s="262"/>
      <c r="K18" s="262"/>
      <c r="L18" s="262"/>
      <c r="M18" s="264"/>
      <c r="N18" s="264"/>
      <c r="O18" s="264"/>
      <c r="P18" s="218"/>
    </row>
  </sheetData>
  <mergeCells count="6">
    <mergeCell ref="I5:L5"/>
    <mergeCell ref="K14:L14"/>
    <mergeCell ref="I14:J14"/>
    <mergeCell ref="I13:L13"/>
    <mergeCell ref="I8:J8"/>
    <mergeCell ref="K8:L8"/>
  </mergeCells>
  <dataValidations count="2">
    <dataValidation type="list" allowBlank="1" showInputMessage="1" showErrorMessage="1" sqref="B7:B8" xr:uid="{00000000-0002-0000-1000-000000000000}">
      <formula1>TabutKalenderIsi</formula1>
    </dataValidation>
    <dataValidation type="list" allowBlank="1" showInputMessage="1" showErrorMessage="1" sqref="F7:F8" xr:uid="{00000000-0002-0000-1000-000001000000}">
      <formula1>TabutPilihanIsi</formula1>
    </dataValidation>
  </dataValidations>
  <pageMargins left="0.7" right="0.7" top="0.75" bottom="0.75" header="0.3" footer="0.3"/>
  <pageSetup paperSize="150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8"/>
  <sheetViews>
    <sheetView workbookViewId="0">
      <selection activeCell="C8" sqref="C8"/>
    </sheetView>
  </sheetViews>
  <sheetFormatPr baseColWidth="10" defaultColWidth="9.1640625" defaultRowHeight="15" x14ac:dyDescent="0.2"/>
  <cols>
    <col min="1" max="1" width="2.5" style="1" customWidth="1"/>
    <col min="2" max="2" width="12.5" style="1" customWidth="1"/>
    <col min="3" max="3" width="44.5" style="1" customWidth="1"/>
    <col min="4" max="5" width="7.6640625" style="1" customWidth="1"/>
    <col min="6" max="6" width="11" style="1" customWidth="1"/>
    <col min="7" max="7" width="2.5" style="1" customWidth="1"/>
    <col min="8" max="8" width="14.83203125" style="1" customWidth="1"/>
    <col min="9" max="16384" width="9.1640625" style="1"/>
  </cols>
  <sheetData>
    <row r="1" spans="1:12" x14ac:dyDescent="0.2">
      <c r="A1" s="274" t="s">
        <v>417</v>
      </c>
      <c r="B1" s="26" t="s">
        <v>356</v>
      </c>
      <c r="C1" s="26"/>
      <c r="D1" s="27"/>
      <c r="E1" s="27"/>
      <c r="F1" s="27"/>
      <c r="G1" s="27"/>
    </row>
    <row r="2" spans="1:12" x14ac:dyDescent="0.2">
      <c r="B2" s="25" t="s">
        <v>88</v>
      </c>
      <c r="C2" s="26"/>
      <c r="D2" s="28"/>
      <c r="E2" s="28"/>
      <c r="F2" s="28"/>
      <c r="G2" s="28"/>
    </row>
    <row r="3" spans="1:12" x14ac:dyDescent="0.2">
      <c r="B3" s="315" t="str">
        <f>INDEX(TabRef2[],MATCH($B$2,TabRef2[Column3],0),4)</f>
        <v>Mengembangkan program kuliah yang mempunyai nilai kebaharuan metode atau substansi (setiap produk)</v>
      </c>
      <c r="C3" s="300"/>
      <c r="D3" s="300"/>
      <c r="E3" s="300"/>
      <c r="F3" s="300"/>
      <c r="G3" s="300"/>
    </row>
    <row r="5" spans="1:12" x14ac:dyDescent="0.2">
      <c r="B5" s="48" t="s">
        <v>411</v>
      </c>
      <c r="C5" s="48" t="s">
        <v>364</v>
      </c>
      <c r="D5" s="48" t="s">
        <v>405</v>
      </c>
      <c r="E5" s="48" t="s">
        <v>12</v>
      </c>
      <c r="F5" s="48" t="s">
        <v>372</v>
      </c>
      <c r="H5" s="243"/>
      <c r="I5" s="554" t="s">
        <v>420</v>
      </c>
      <c r="J5" s="556"/>
      <c r="K5" s="556"/>
      <c r="L5" s="555"/>
    </row>
    <row r="6" spans="1:12" ht="15" hidden="1" customHeight="1" x14ac:dyDescent="0.2">
      <c r="B6" s="50" t="s">
        <v>722</v>
      </c>
      <c r="C6" s="50" t="s">
        <v>723</v>
      </c>
      <c r="D6" s="50" t="s">
        <v>724</v>
      </c>
      <c r="E6" s="50" t="s">
        <v>725</v>
      </c>
      <c r="F6" s="50" t="s">
        <v>726</v>
      </c>
      <c r="H6" s="244"/>
      <c r="I6" s="238"/>
      <c r="J6" s="238"/>
      <c r="K6" s="238"/>
      <c r="L6" s="238"/>
    </row>
    <row r="7" spans="1:12" hidden="1" x14ac:dyDescent="0.2">
      <c r="B7" s="238"/>
      <c r="C7" s="251"/>
      <c r="D7" s="238">
        <f>IF(AND(ISTEXT(Tab2G[[#This Row],[Col1]]),ISTEXT(Tab2G[[#This Row],[Col2]])),1,0)</f>
        <v>0</v>
      </c>
      <c r="E7" s="238">
        <f>Tab2G[[#This Row],[Col3]]*VLOOKUP($A$1,TabTur_2BCFGI[[Komponen]:[Kredit]],2,FALSE)</f>
        <v>0</v>
      </c>
      <c r="F7" s="238"/>
      <c r="H7" s="244"/>
      <c r="I7" s="238"/>
      <c r="J7" s="238"/>
      <c r="K7" s="238"/>
      <c r="L7" s="238"/>
    </row>
    <row r="8" spans="1:12" x14ac:dyDescent="0.2">
      <c r="B8" s="49"/>
      <c r="C8" s="22"/>
      <c r="D8" s="238">
        <f>IF(AND(ISTEXT(Tab2G[[#This Row],[Col1]]),ISTEXT(Tab2G[[#This Row],[Col2]])),1,0)</f>
        <v>0</v>
      </c>
      <c r="E8" s="238">
        <f>Tab2G[[#This Row],[Col3]]*VLOOKUP($A$1,TabTur_2BCFGI[[Komponen]:[Kredit]],2,FALSE)</f>
        <v>0</v>
      </c>
      <c r="F8" s="49" t="s">
        <v>370</v>
      </c>
      <c r="H8" s="244"/>
      <c r="I8" s="552" t="s">
        <v>401</v>
      </c>
      <c r="J8" s="552"/>
      <c r="K8" s="552" t="s">
        <v>402</v>
      </c>
      <c r="L8" s="552"/>
    </row>
    <row r="9" spans="1:12" x14ac:dyDescent="0.2">
      <c r="H9" s="245"/>
      <c r="I9" s="238" t="s">
        <v>405</v>
      </c>
      <c r="J9" s="238" t="s">
        <v>12</v>
      </c>
      <c r="K9" s="238" t="s">
        <v>405</v>
      </c>
      <c r="L9" s="238" t="s">
        <v>12</v>
      </c>
    </row>
    <row r="10" spans="1:12" x14ac:dyDescent="0.2">
      <c r="H10" s="238" t="str">
        <f>TabelUtama!H3</f>
        <v>Semester 1</v>
      </c>
      <c r="I10" s="238">
        <f>SUMPRODUCT((Tab2G[Col1]=$H10)*(Tab2G[Col3]))</f>
        <v>0</v>
      </c>
      <c r="J10" s="238">
        <f>SUMPRODUCT((Tab2G[Col1]=$H$10)*(Tab2G[Col4]))</f>
        <v>0</v>
      </c>
      <c r="K10" s="238">
        <f>SUMPRODUCT((Tab2G[Col1]=H10)*(Tab2G[Col5]=TabelUtama!$J$3)*(Tab2G[Col3]))</f>
        <v>0</v>
      </c>
      <c r="L10" s="238">
        <f>J16</f>
        <v>0</v>
      </c>
    </row>
    <row r="11" spans="1:12" x14ac:dyDescent="0.2">
      <c r="H11" s="238" t="str">
        <f>TabelUtama!H4</f>
        <v>Semester 2</v>
      </c>
      <c r="I11" s="238">
        <f>SUMPRODUCT((Tab2G[Col1]=$H11)*(Tab2G[Col3]))</f>
        <v>0</v>
      </c>
      <c r="J11" s="238">
        <f>SUMPRODUCT((Tab2G[Col1]=$H$11)*(Tab2G[Col4]))</f>
        <v>0</v>
      </c>
      <c r="K11" s="238">
        <f>SUMPRODUCT((Tab2G[Col1]=H11)*(Tab2G[Col5]=TabelUtama!$J$3)*(Tab2G[Col3]))</f>
        <v>0</v>
      </c>
      <c r="L11" s="238">
        <f>L16</f>
        <v>0</v>
      </c>
    </row>
    <row r="13" spans="1:12" x14ac:dyDescent="0.2">
      <c r="I13" s="552" t="s">
        <v>422</v>
      </c>
      <c r="J13" s="552"/>
      <c r="K13" s="552"/>
      <c r="L13" s="552"/>
    </row>
    <row r="14" spans="1:12" x14ac:dyDescent="0.2">
      <c r="I14" s="552" t="str">
        <f>H10</f>
        <v>Semester 1</v>
      </c>
      <c r="J14" s="552"/>
      <c r="K14" s="552" t="str">
        <f>H11</f>
        <v>Semester 2</v>
      </c>
      <c r="L14" s="552"/>
    </row>
    <row r="15" spans="1:12" x14ac:dyDescent="0.2">
      <c r="I15" s="238" t="s">
        <v>421</v>
      </c>
      <c r="J15" s="238" t="s">
        <v>407</v>
      </c>
      <c r="K15" s="238" t="s">
        <v>421</v>
      </c>
      <c r="L15" s="238" t="s">
        <v>407</v>
      </c>
    </row>
    <row r="16" spans="1:12" x14ac:dyDescent="0.2">
      <c r="I16" s="238">
        <f>IF(SUMPRODUCT((Tab2G[Col1]=I$14)*(Tab2G[Col5]=TabelUtama!$J$3)*(Tab2G[Col4]))&gt;VLOOKUP($A$1,TabTur_2BCFGI[],3,FALSE),VLOOKUP($A$1,TabTur_2BCFGI[],3,FALSE),(SUMPRODUCT((Tab2G[Col1]=I$14)*(Tab2G[Col5]=TabelUtama!$J$3)*(Tab2G[Col3]))))</f>
        <v>0</v>
      </c>
      <c r="J16" s="238">
        <f>I16*VLOOKUP($A$1,TabTur_2BCFGI[[Komponen]:[Kredit]],2,FALSE)</f>
        <v>0</v>
      </c>
      <c r="K16" s="238">
        <f>IF(SUMPRODUCT((Tab2G[Col1]=K$14)*(Tab2G[Col5]=TabelUtama!$J$3)*(Tab2G[Col4]))&gt;VLOOKUP($A$1,TabTur_2BCFGI[],3,FALSE),VLOOKUP($A$1,TabTur_2BCFGI[],3,FALSE),(SUMPRODUCT((Tab2G[Col1]=K$14)*(Tab2G[Col5]=TabelUtama!$J$3)*(Tab2G[Col3]))))</f>
        <v>0</v>
      </c>
      <c r="L16" s="238">
        <f>K16*VLOOKUP($A$1,TabTur_2BCFGI[[Komponen]:[Kredit]],2,FALSE)</f>
        <v>0</v>
      </c>
    </row>
    <row r="18" spans="8:12" x14ac:dyDescent="0.2">
      <c r="H18" s="262" t="s">
        <v>721</v>
      </c>
      <c r="I18" s="263"/>
      <c r="J18" s="262"/>
      <c r="K18" s="262"/>
      <c r="L18" s="262"/>
    </row>
  </sheetData>
  <mergeCells count="6">
    <mergeCell ref="I5:L5"/>
    <mergeCell ref="I14:J14"/>
    <mergeCell ref="K14:L14"/>
    <mergeCell ref="I8:J8"/>
    <mergeCell ref="K8:L8"/>
    <mergeCell ref="I13:L13"/>
  </mergeCells>
  <dataValidations count="2">
    <dataValidation type="list" allowBlank="1" showInputMessage="1" showErrorMessage="1" sqref="F7:F8" xr:uid="{00000000-0002-0000-1100-000000000000}">
      <formula1>TabutPilihanIsi</formula1>
    </dataValidation>
    <dataValidation type="list" allowBlank="1" showInputMessage="1" showErrorMessage="1" sqref="B7:B8" xr:uid="{00000000-0002-0000-1100-000001000000}">
      <formula1>TabutKalenderIsi</formula1>
    </dataValidation>
  </dataValidations>
  <pageMargins left="0.7" right="0.7" top="0.75" bottom="0.75" header="0.3" footer="0.3"/>
  <pageSetup paperSize="150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W26"/>
  <sheetViews>
    <sheetView topLeftCell="A2" workbookViewId="0">
      <selection activeCell="C8" sqref="C8"/>
    </sheetView>
  </sheetViews>
  <sheetFormatPr baseColWidth="10" defaultColWidth="9.1640625" defaultRowHeight="15" x14ac:dyDescent="0.2"/>
  <cols>
    <col min="1" max="1" width="2.5" style="1" customWidth="1"/>
    <col min="2" max="2" width="12.5" style="1" customWidth="1"/>
    <col min="3" max="3" width="18.6640625" style="1" bestFit="1" customWidth="1"/>
    <col min="4" max="7" width="16.5" style="1" customWidth="1"/>
    <col min="8" max="8" width="2.5" style="1" customWidth="1"/>
    <col min="9" max="9" width="19.1640625" style="1" customWidth="1"/>
    <col min="10" max="13" width="9.1640625" style="1"/>
    <col min="14" max="14" width="9.1640625" style="1" customWidth="1"/>
    <col min="15" max="16384" width="9.1640625" style="1"/>
  </cols>
  <sheetData>
    <row r="1" spans="2:15" x14ac:dyDescent="0.2">
      <c r="B1" s="26" t="s">
        <v>356</v>
      </c>
      <c r="C1" s="26"/>
      <c r="D1" s="27"/>
      <c r="E1" s="27"/>
      <c r="F1" s="27"/>
      <c r="G1" s="27"/>
    </row>
    <row r="2" spans="2:15" x14ac:dyDescent="0.2">
      <c r="B2" s="25" t="s">
        <v>89</v>
      </c>
      <c r="C2" s="26"/>
      <c r="D2" s="28"/>
      <c r="E2" s="28"/>
      <c r="F2" s="28"/>
      <c r="G2" s="28"/>
    </row>
    <row r="3" spans="2:15" ht="15" customHeight="1" x14ac:dyDescent="0.2">
      <c r="B3" s="315" t="str">
        <f>INDEX(TabRef2[],MATCH($B$2,TabRef2[Column3],0),4)</f>
        <v>Mengembangkan bahan pengajaran/ bahan kuliah yang mempunyai nilai kebaharuan (setiap produk)</v>
      </c>
      <c r="C3" s="300"/>
      <c r="D3" s="300"/>
      <c r="E3" s="300"/>
      <c r="F3" s="300"/>
      <c r="G3" s="300"/>
    </row>
    <row r="5" spans="2:15" x14ac:dyDescent="0.2">
      <c r="B5" s="255" t="s">
        <v>411</v>
      </c>
      <c r="C5" s="255" t="s">
        <v>432</v>
      </c>
      <c r="D5" s="255" t="s">
        <v>433</v>
      </c>
      <c r="E5" s="255" t="s">
        <v>405</v>
      </c>
      <c r="F5" s="255" t="s">
        <v>12</v>
      </c>
      <c r="G5" s="255" t="s">
        <v>372</v>
      </c>
      <c r="I5" s="243"/>
      <c r="J5" s="554" t="s">
        <v>420</v>
      </c>
      <c r="K5" s="556"/>
      <c r="L5" s="556"/>
      <c r="M5" s="555"/>
    </row>
    <row r="6" spans="2:15" ht="15" hidden="1" customHeight="1" x14ac:dyDescent="0.2">
      <c r="B6" s="50" t="s">
        <v>722</v>
      </c>
      <c r="C6" s="50" t="s">
        <v>723</v>
      </c>
      <c r="D6" s="50" t="s">
        <v>724</v>
      </c>
      <c r="E6" s="50" t="s">
        <v>725</v>
      </c>
      <c r="F6" s="50" t="s">
        <v>726</v>
      </c>
      <c r="G6" s="50" t="s">
        <v>727</v>
      </c>
      <c r="I6" s="244"/>
      <c r="J6" s="254"/>
      <c r="K6" s="254"/>
      <c r="L6" s="254"/>
      <c r="M6" s="254"/>
    </row>
    <row r="7" spans="2:15" hidden="1" x14ac:dyDescent="0.2">
      <c r="B7" s="269"/>
      <c r="C7" s="270"/>
      <c r="D7" s="271"/>
      <c r="E7" s="254">
        <f>IF(AND(ISTEXT(Tab2H[[#This Row],[Col1]]),ISTEXT(Tab2H[[#This Row],[Col3]]),ISTEXT(Tab2H[[#This Row],[Col2]])),1,0)</f>
        <v>0</v>
      </c>
      <c r="F7" s="254">
        <f>IFERROR(Tab2H[[#This Row],[Col4]]*VLOOKUP(Tab2H[[#This Row],[Col2]],TabTur_2H[],2,FALSE),0)</f>
        <v>0</v>
      </c>
      <c r="G7" s="269"/>
      <c r="I7" s="244"/>
      <c r="J7" s="254"/>
      <c r="K7" s="254"/>
      <c r="L7" s="254"/>
      <c r="M7" s="254"/>
    </row>
    <row r="8" spans="2:15" x14ac:dyDescent="0.2">
      <c r="B8" s="49"/>
      <c r="C8" s="50"/>
      <c r="D8" s="22"/>
      <c r="E8" s="254">
        <f>IF(AND(ISTEXT(Tab2H[[#This Row],[Col1]]),ISTEXT(Tab2H[[#This Row],[Col3]]),ISTEXT(Tab2H[[#This Row],[Col2]])),1,0)</f>
        <v>0</v>
      </c>
      <c r="F8" s="254">
        <f>IFERROR(Tab2H[[#This Row],[Col4]]*VLOOKUP(Tab2H[[#This Row],[Col2]],TabTur_2H[],2,FALSE),0)</f>
        <v>0</v>
      </c>
      <c r="G8" s="49" t="s">
        <v>370</v>
      </c>
      <c r="I8" s="244"/>
      <c r="J8" s="552" t="s">
        <v>401</v>
      </c>
      <c r="K8" s="552"/>
      <c r="L8" s="552" t="s">
        <v>402</v>
      </c>
      <c r="M8" s="552"/>
    </row>
    <row r="9" spans="2:15" x14ac:dyDescent="0.2">
      <c r="I9" s="245"/>
      <c r="J9" s="254" t="s">
        <v>405</v>
      </c>
      <c r="K9" s="254" t="s">
        <v>12</v>
      </c>
      <c r="L9" s="254" t="s">
        <v>405</v>
      </c>
      <c r="M9" s="254" t="s">
        <v>12</v>
      </c>
    </row>
    <row r="10" spans="2:15" x14ac:dyDescent="0.2">
      <c r="I10" s="254" t="str">
        <f>TabelUtama!H3</f>
        <v>Semester 1</v>
      </c>
      <c r="J10" s="254">
        <f>SUMPRODUCT((Tab2H[Col1]=$I10)*(Tab2H[Col4]))</f>
        <v>0</v>
      </c>
      <c r="K10" s="254">
        <f>SUMPRODUCT((Tab2H[Col1]=$I10)*(Tab2H[Col5]))</f>
        <v>0</v>
      </c>
      <c r="L10" s="254">
        <f>SUMPRODUCT((Tab2H[Col1]=I10)*(Tab2H[Col6]=Ya)*(Tab2H[Col4]))</f>
        <v>0</v>
      </c>
      <c r="M10" s="254">
        <f>SUM(K17:K24)</f>
        <v>0</v>
      </c>
    </row>
    <row r="11" spans="2:15" x14ac:dyDescent="0.2">
      <c r="I11" s="254" t="str">
        <f>TabelUtama!H4</f>
        <v>Semester 2</v>
      </c>
      <c r="J11" s="254">
        <f>SUMPRODUCT((Tab2H[Col1]=$I11)*(Tab2H[Col4]))</f>
        <v>0</v>
      </c>
      <c r="K11" s="254">
        <f>SUMPRODUCT((Tab2H[Col1]=$I11)*(Tab2H[Col5]))</f>
        <v>0</v>
      </c>
      <c r="L11" s="254">
        <f>SUMPRODUCT((Tab2H[Col1]=I11)*(Tab2H[Col6]=Ya)*(Tab2H[Col4]))</f>
        <v>0</v>
      </c>
      <c r="M11" s="254">
        <f>SUM(M17:M24)</f>
        <v>0</v>
      </c>
    </row>
    <row r="12" spans="2:15" x14ac:dyDescent="0.2">
      <c r="I12" s="254" t="str">
        <f>TabelUtama!H5</f>
        <v>1 Tahun</v>
      </c>
      <c r="J12" s="254">
        <f>SUMPRODUCT((Tab2H[Col1]=$I12)*(Tab2H[Col4]))</f>
        <v>0</v>
      </c>
      <c r="K12" s="254">
        <f>SUMPRODUCT((Tab2H[Col1]=$I12)*(Tab2H[Col5]))</f>
        <v>0</v>
      </c>
      <c r="L12" s="254">
        <f>SUMPRODUCT((Tab2H[Col1]=I12)*(Tab2H[Col6]=Ya)*(Tab2H[Col4]))</f>
        <v>0</v>
      </c>
      <c r="M12" s="254">
        <f>SUM(O17:O24)</f>
        <v>0</v>
      </c>
      <c r="N12" s="1" t="s">
        <v>737</v>
      </c>
    </row>
    <row r="14" spans="2:15" x14ac:dyDescent="0.2">
      <c r="I14" s="243"/>
      <c r="J14" s="563" t="s">
        <v>422</v>
      </c>
      <c r="K14" s="564"/>
      <c r="L14" s="564"/>
      <c r="M14" s="564"/>
      <c r="N14" s="564"/>
      <c r="O14" s="564"/>
    </row>
    <row r="15" spans="2:15" x14ac:dyDescent="0.2">
      <c r="I15" s="244"/>
      <c r="J15" s="552" t="str">
        <f>I10</f>
        <v>Semester 1</v>
      </c>
      <c r="K15" s="552"/>
      <c r="L15" s="552" t="str">
        <f>I11</f>
        <v>Semester 2</v>
      </c>
      <c r="M15" s="552"/>
      <c r="N15" s="552" t="str">
        <f>I12</f>
        <v>1 Tahun</v>
      </c>
      <c r="O15" s="552"/>
    </row>
    <row r="16" spans="2:15" x14ac:dyDescent="0.2">
      <c r="I16" s="245"/>
      <c r="J16" s="254" t="s">
        <v>421</v>
      </c>
      <c r="K16" s="254" t="s">
        <v>407</v>
      </c>
      <c r="L16" s="254" t="s">
        <v>421</v>
      </c>
      <c r="M16" s="254" t="s">
        <v>407</v>
      </c>
      <c r="N16" s="254" t="s">
        <v>421</v>
      </c>
      <c r="O16" s="254" t="s">
        <v>407</v>
      </c>
    </row>
    <row r="17" spans="9:23" x14ac:dyDescent="0.2">
      <c r="I17" s="251" t="s">
        <v>90</v>
      </c>
      <c r="J17" s="254">
        <f>IF(SUMPRODUCT((Tab2H[Col1]=J$15)*(Tab2H[Col6]=Ya)*(Tab2H[Col2]=$I17)*(Tab2H[Col5]))&gt;VLOOKUP($I17,TabTur_2H[],3,FALSE),VLOOKUP($I17,TabTur_2H[],3,FALSE),SUMPRODUCT((Tab2H[Col1]=J$15)*(Tab2H[Col6]=Ya)*(Tab2H[Col2]=$I17)*(Tab2H[Col5])))</f>
        <v>0</v>
      </c>
      <c r="K17" s="254">
        <f>J17*VLOOKUP($I17,TabTur_2H[[Komponen]:[Kredit]],2,FALSE)</f>
        <v>0</v>
      </c>
      <c r="L17" s="254">
        <f>IF(SUMPRODUCT((Tab2H[Col1]=L$15)*(Tab2H[Col6]=Ya)*(Tab2H[Col2]=$I17)*(Tab2H[Col5]))&gt;VLOOKUP($I17,TabTur_2H[],3,FALSE),VLOOKUP($I17,TabTur_2H[],3,FALSE),SUMPRODUCT((Tab2H[Col1]=L$15)*(Tab2H[Col6]=Ya)*(Tab2H[Col2]=$I17)*(Tab2H[Col5])))</f>
        <v>0</v>
      </c>
      <c r="M17" s="254">
        <f>L17*VLOOKUP($I17,TabTur_2H[[Komponen]:[Kredit]],2,FALSE)</f>
        <v>0</v>
      </c>
      <c r="N17" s="254">
        <f>IF(SUMPRODUCT((Tab2H[Col1]=N$15)*(Tab2H[Col6]=Ya)*(Tab2H[Col2]=$I17)*(Tab2H[Col5]))&gt;VLOOKUP($I17,TabTur_2H[],3,FALSE),VLOOKUP($I17,TabTur_2H[],3,FALSE),SUMPRODUCT((Tab2H[Col1]=N$15)*(Tab2H[Col6]=Ya)*(Tab2H[Col2]=$I17)*(Tab2H[Col5])))</f>
        <v>0</v>
      </c>
      <c r="O17" s="254">
        <f>N17*VLOOKUP($I17,TabTur_2H[[Komponen]:[Kredit]],2,FALSE)</f>
        <v>0</v>
      </c>
    </row>
    <row r="18" spans="9:23" x14ac:dyDescent="0.2">
      <c r="I18" s="251" t="s">
        <v>423</v>
      </c>
      <c r="J18" s="254">
        <f>IF(SUMPRODUCT((Tab2H[Col1]=J$15)*(Tab2H[Col6]=Ya)*(Tab2H[Col2]=$I18)*(Tab2H[Col5]))&gt;VLOOKUP($I18,TabTur_2H[],3,FALSE),VLOOKUP($I18,TabTur_2H[],3,FALSE),SUMPRODUCT((Tab2H[Col1]=J$15)*(Tab2H[Col6]=Ya)*(Tab2H[Col2]=$I18)*(Tab2H[Col5])))</f>
        <v>0</v>
      </c>
      <c r="K18" s="254">
        <f>J18*VLOOKUP($I18,TabTur_2H[[Komponen]:[Kredit]],2,FALSE)</f>
        <v>0</v>
      </c>
      <c r="L18" s="254">
        <f>IF(SUMPRODUCT((Tab2H[Col1]=L$15)*(Tab2H[Col6]=Ya)*(Tab2H[Col2]=$I18)*(Tab2H[Col5]))&gt;VLOOKUP($I18,TabTur_2H[],3,FALSE),VLOOKUP($I18,TabTur_2H[],3,FALSE),SUMPRODUCT((Tab2H[Col1]=L$15)*(Tab2H[Col6]=Ya)*(Tab2H[Col2]=$I18)*(Tab2H[Col5])))</f>
        <v>0</v>
      </c>
      <c r="M18" s="254">
        <f>L18*VLOOKUP($I18,TabTur_2H[[Komponen]:[Kredit]],2,FALSE)</f>
        <v>0</v>
      </c>
      <c r="N18" s="254">
        <f>IF(SUMPRODUCT((Tab2H[Col1]=N$15)*(Tab2H[Col6]=Ya)*(Tab2H[Col2]=$I18)*(Tab2H[Col5]))&gt;VLOOKUP($I18,TabTur_2H[],3,FALSE),VLOOKUP($I18,TabTur_2H[],3,FALSE),SUMPRODUCT((Tab2H[Col1]=N$15)*(Tab2H[Col6]=Ya)*(Tab2H[Col2]=$I18)*(Tab2H[Col5])))</f>
        <v>0</v>
      </c>
      <c r="O18" s="254">
        <f>N18*VLOOKUP($I18,TabTur_2H[[Komponen]:[Kredit]],2,FALSE)</f>
        <v>0</v>
      </c>
    </row>
    <row r="19" spans="9:23" x14ac:dyDescent="0.2">
      <c r="I19" s="251" t="s">
        <v>424</v>
      </c>
      <c r="J19" s="254">
        <f>IF(SUMPRODUCT((Tab2H[Col1]=J$15)*(Tab2H[Col6]=Ya)*(Tab2H[Col2]=$I19)*(Tab2H[Col5]))&gt;VLOOKUP($I19,TabTur_2H[],3,FALSE),VLOOKUP($I19,TabTur_2H[],3,FALSE),SUMPRODUCT((Tab2H[Col1]=J$15)*(Tab2H[Col6]=Ya)*(Tab2H[Col2]=$I19)*(Tab2H[Col5])))</f>
        <v>0</v>
      </c>
      <c r="K19" s="254">
        <f>J19*VLOOKUP($I19,TabTur_2H[[Komponen]:[Kredit]],2,FALSE)</f>
        <v>0</v>
      </c>
      <c r="L19" s="254">
        <f>IF(SUMPRODUCT((Tab2H[Col1]=L$15)*(Tab2H[Col6]=Ya)*(Tab2H[Col2]=$I19)*(Tab2H[Col5]))&gt;VLOOKUP($I19,TabTur_2H[],3,FALSE),VLOOKUP($I19,TabTur_2H[],3,FALSE),SUMPRODUCT((Tab2H[Col1]=L$15)*(Tab2H[Col6]=Ya)*(Tab2H[Col2]=$I19)*(Tab2H[Col5])))</f>
        <v>0</v>
      </c>
      <c r="M19" s="254">
        <f>L19*VLOOKUP($I19,TabTur_2H[[Komponen]:[Kredit]],2,FALSE)</f>
        <v>0</v>
      </c>
      <c r="N19" s="254">
        <f>IF(SUMPRODUCT((Tab2H[Col1]=N$15)*(Tab2H[Col6]=Ya)*(Tab2H[Col2]=$I19)*(Tab2H[Col5]))&gt;VLOOKUP($I19,TabTur_2H[],3,FALSE),VLOOKUP($I19,TabTur_2H[],3,FALSE),SUMPRODUCT((Tab2H[Col1]=N$15)*(Tab2H[Col6]=Ya)*(Tab2H[Col2]=$I19)*(Tab2H[Col5])))</f>
        <v>0</v>
      </c>
      <c r="O19" s="254">
        <f>N19*VLOOKUP($I19,TabTur_2H[[Komponen]:[Kredit]],2,FALSE)</f>
        <v>0</v>
      </c>
    </row>
    <row r="20" spans="9:23" x14ac:dyDescent="0.2">
      <c r="I20" s="251" t="s">
        <v>425</v>
      </c>
      <c r="J20" s="254">
        <f>IF(SUMPRODUCT((Tab2H[Col1]=J$15)*(Tab2H[Col6]=Ya)*(Tab2H[Col2]=$I20)*(Tab2H[Col5]))&gt;VLOOKUP($I20,TabTur_2H[],3,FALSE),VLOOKUP($I20,TabTur_2H[],3,FALSE),SUMPRODUCT((Tab2H[Col1]=J$15)*(Tab2H[Col6]=Ya)*(Tab2H[Col2]=$I20)*(Tab2H[Col5])))</f>
        <v>0</v>
      </c>
      <c r="K20" s="254">
        <f>J20*VLOOKUP($I20,TabTur_2H[[Komponen]:[Kredit]],2,FALSE)</f>
        <v>0</v>
      </c>
      <c r="L20" s="254">
        <f>IF(SUMPRODUCT((Tab2H[Col1]=L$15)*(Tab2H[Col6]=Ya)*(Tab2H[Col2]=$I20)*(Tab2H[Col5]))&gt;VLOOKUP($I20,TabTur_2H[],3,FALSE),VLOOKUP($I20,TabTur_2H[],3,FALSE),SUMPRODUCT((Tab2H[Col1]=L$15)*(Tab2H[Col6]=Ya)*(Tab2H[Col2]=$I20)*(Tab2H[Col5])))</f>
        <v>0</v>
      </c>
      <c r="M20" s="254">
        <f>L20*VLOOKUP($I20,TabTur_2H[[Komponen]:[Kredit]],2,FALSE)</f>
        <v>0</v>
      </c>
      <c r="N20" s="254">
        <f>IF(SUMPRODUCT((Tab2H[Col1]=N$15)*(Tab2H[Col6]=Ya)*(Tab2H[Col2]=$I20)*(Tab2H[Col5]))&gt;VLOOKUP($I20,TabTur_2H[],3,FALSE),VLOOKUP($I20,TabTur_2H[],3,FALSE),SUMPRODUCT((Tab2H[Col1]=N$15)*(Tab2H[Col6]=Ya)*(Tab2H[Col2]=$I20)*(Tab2H[Col5])))</f>
        <v>0</v>
      </c>
      <c r="O20" s="254">
        <f>N20*VLOOKUP($I20,TabTur_2H[[Komponen]:[Kredit]],2,FALSE)</f>
        <v>0</v>
      </c>
    </row>
    <row r="21" spans="9:23" x14ac:dyDescent="0.2">
      <c r="I21" s="251" t="s">
        <v>426</v>
      </c>
      <c r="J21" s="254">
        <f>IF(SUMPRODUCT((Tab2H[Col1]=J$15)*(Tab2H[Col6]=Ya)*(Tab2H[Col2]=$I21)*(Tab2H[Col5]))&gt;VLOOKUP($I21,TabTur_2H[],3,FALSE),VLOOKUP($I21,TabTur_2H[],3,FALSE),SUMPRODUCT((Tab2H[Col1]=J$15)*(Tab2H[Col6]=Ya)*(Tab2H[Col2]=$I21)*(Tab2H[Col5])))</f>
        <v>0</v>
      </c>
      <c r="K21" s="254">
        <f>J21*VLOOKUP($I21,TabTur_2H[[Komponen]:[Kredit]],2,FALSE)</f>
        <v>0</v>
      </c>
      <c r="L21" s="254">
        <f>IF(SUMPRODUCT((Tab2H[Col1]=L$15)*(Tab2H[Col6]=Ya)*(Tab2H[Col2]=$I21)*(Tab2H[Col5]))&gt;VLOOKUP($I21,TabTur_2H[],3,FALSE),VLOOKUP($I21,TabTur_2H[],3,FALSE),SUMPRODUCT((Tab2H[Col1]=L$15)*(Tab2H[Col6]=Ya)*(Tab2H[Col2]=$I21)*(Tab2H[Col5])))</f>
        <v>0</v>
      </c>
      <c r="M21" s="254">
        <f>L21*VLOOKUP($I21,TabTur_2H[[Komponen]:[Kredit]],2,FALSE)</f>
        <v>0</v>
      </c>
      <c r="N21" s="254">
        <f>IF(SUMPRODUCT((Tab2H[Col1]=N$15)*(Tab2H[Col6]=Ya)*(Tab2H[Col2]=$I21)*(Tab2H[Col5]))&gt;VLOOKUP($I21,TabTur_2H[],3,FALSE),VLOOKUP($I21,TabTur_2H[],3,FALSE),SUMPRODUCT((Tab2H[Col1]=N$15)*(Tab2H[Col6]=Ya)*(Tab2H[Col2]=$I21)*(Tab2H[Col5])))</f>
        <v>0</v>
      </c>
      <c r="O21" s="254">
        <f>N21*VLOOKUP($I21,TabTur_2H[[Komponen]:[Kredit]],2,FALSE)</f>
        <v>0</v>
      </c>
    </row>
    <row r="22" spans="9:23" x14ac:dyDescent="0.2">
      <c r="I22" s="251" t="s">
        <v>427</v>
      </c>
      <c r="J22" s="254">
        <f>IF(SUMPRODUCT((Tab2H[Col1]=J$15)*(Tab2H[Col6]=Ya)*(Tab2H[Col2]=$I22)*(Tab2H[Col5]))&gt;VLOOKUP($I22,TabTur_2H[],3,FALSE),VLOOKUP($I22,TabTur_2H[],3,FALSE),SUMPRODUCT((Tab2H[Col1]=J$15)*(Tab2H[Col6]=Ya)*(Tab2H[Col2]=$I22)*(Tab2H[Col5])))</f>
        <v>0</v>
      </c>
      <c r="K22" s="254">
        <f>J22*VLOOKUP($I22,TabTur_2H[[Komponen]:[Kredit]],2,FALSE)</f>
        <v>0</v>
      </c>
      <c r="L22" s="254">
        <f>IF(SUMPRODUCT((Tab2H[Col1]=L$15)*(Tab2H[Col6]=Ya)*(Tab2H[Col2]=$I22)*(Tab2H[Col5]))&gt;VLOOKUP($I22,TabTur_2H[],3,FALSE),VLOOKUP($I22,TabTur_2H[],3,FALSE),SUMPRODUCT((Tab2H[Col1]=L$15)*(Tab2H[Col6]=Ya)*(Tab2H[Col2]=$I22)*(Tab2H[Col5])))</f>
        <v>0</v>
      </c>
      <c r="M22" s="254">
        <f>L22*VLOOKUP($I22,TabTur_2H[[Komponen]:[Kredit]],2,FALSE)</f>
        <v>0</v>
      </c>
      <c r="N22" s="254">
        <f>IF(SUMPRODUCT((Tab2H[Col1]=N$15)*(Tab2H[Col6]=Ya)*(Tab2H[Col2]=$I22)*(Tab2H[Col5]))&gt;VLOOKUP($I22,TabTur_2H[],3,FALSE),VLOOKUP($I22,TabTur_2H[],3,FALSE),SUMPRODUCT((Tab2H[Col1]=N$15)*(Tab2H[Col6]=Ya)*(Tab2H[Col2]=$I22)*(Tab2H[Col5])))</f>
        <v>0</v>
      </c>
      <c r="O22" s="254">
        <f>N22*VLOOKUP($I22,TabTur_2H[[Komponen]:[Kredit]],2,FALSE)</f>
        <v>0</v>
      </c>
    </row>
    <row r="23" spans="9:23" x14ac:dyDescent="0.2">
      <c r="I23" s="251" t="s">
        <v>428</v>
      </c>
      <c r="J23" s="254">
        <f>IF(SUMPRODUCT((Tab2H[Col1]=J$15)*(Tab2H[Col6]=Ya)*(Tab2H[Col2]=$I23)*(Tab2H[Col5]))&gt;VLOOKUP($I23,TabTur_2H[],3,FALSE),VLOOKUP($I23,TabTur_2H[],3,FALSE),SUMPRODUCT((Tab2H[Col1]=J$15)*(Tab2H[Col6]=Ya)*(Tab2H[Col2]=$I23)*(Tab2H[Col5])))</f>
        <v>0</v>
      </c>
      <c r="K23" s="254">
        <f>J23*VLOOKUP($I23,TabTur_2H[[Komponen]:[Kredit]],2,FALSE)</f>
        <v>0</v>
      </c>
      <c r="L23" s="254">
        <f>IF(SUMPRODUCT((Tab2H[Col1]=L$15)*(Tab2H[Col6]=Ya)*(Tab2H[Col2]=$I23)*(Tab2H[Col5]))&gt;VLOOKUP($I23,TabTur_2H[],3,FALSE),VLOOKUP($I23,TabTur_2H[],3,FALSE),SUMPRODUCT((Tab2H[Col1]=L$15)*(Tab2H[Col6]=Ya)*(Tab2H[Col2]=$I23)*(Tab2H[Col5])))</f>
        <v>0</v>
      </c>
      <c r="M23" s="254">
        <f>L23*VLOOKUP($I23,TabTur_2H[[Komponen]:[Kredit]],2,FALSE)</f>
        <v>0</v>
      </c>
      <c r="N23" s="254">
        <f>IF(SUMPRODUCT((Tab2H[Col1]=N$15)*(Tab2H[Col6]=Ya)*(Tab2H[Col2]=$I23)*(Tab2H[Col5]))&gt;VLOOKUP($I23,TabTur_2H[],3,FALSE),VLOOKUP($I23,TabTur_2H[],3,FALSE),SUMPRODUCT((Tab2H[Col1]=N$15)*(Tab2H[Col6]=Ya)*(Tab2H[Col2]=$I23)*(Tab2H[Col5])))</f>
        <v>0</v>
      </c>
      <c r="O23" s="254">
        <f>N23*VLOOKUP($I23,TabTur_2H[[Komponen]:[Kredit]],2,FALSE)</f>
        <v>0</v>
      </c>
    </row>
    <row r="24" spans="9:23" x14ac:dyDescent="0.2">
      <c r="I24" s="251" t="s">
        <v>429</v>
      </c>
      <c r="J24" s="254">
        <f>IF(SUMPRODUCT((Tab2H[Col1]=J$15)*(Tab2H[Col6]=Ya)*(Tab2H[Col2]=$I24)*(Tab2H[Col5]))&gt;VLOOKUP($I24,TabTur_2H[],3,FALSE),VLOOKUP($I24,TabTur_2H[],3,FALSE),SUMPRODUCT((Tab2H[Col1]=J$15)*(Tab2H[Col6]=Ya)*(Tab2H[Col2]=$I24)*(Tab2H[Col5])))</f>
        <v>0</v>
      </c>
      <c r="K24" s="254">
        <f>J24*VLOOKUP($I24,TabTur_2H[[Komponen]:[Kredit]],2,FALSE)</f>
        <v>0</v>
      </c>
      <c r="L24" s="254">
        <f>IF(SUMPRODUCT((Tab2H[Col1]=L$15)*(Tab2H[Col6]=Ya)*(Tab2H[Col2]=$I24)*(Tab2H[Col5]))&gt;VLOOKUP($I24,TabTur_2H[],3,FALSE),VLOOKUP($I24,TabTur_2H[],3,FALSE),SUMPRODUCT((Tab2H[Col1]=L$15)*(Tab2H[Col6]=Ya)*(Tab2H[Col2]=$I24)*(Tab2H[Col5])))</f>
        <v>0</v>
      </c>
      <c r="M24" s="254">
        <f>L24*VLOOKUP($I24,TabTur_2H[[Komponen]:[Kredit]],2,FALSE)</f>
        <v>0</v>
      </c>
      <c r="N24" s="254">
        <f>IF(SUMPRODUCT((Tab2H[Col1]=N$15)*(Tab2H[Col6]=Ya)*(Tab2H[Col2]=$I24)*(Tab2H[Col5]))&gt;VLOOKUP($I24,TabTur_2H[],3,FALSE),VLOOKUP($I24,TabTur_2H[],3,FALSE),SUMPRODUCT((Tab2H[Col1]=N$15)*(Tab2H[Col6]=Ya)*(Tab2H[Col2]=$I24)*(Tab2H[Col5])))</f>
        <v>0</v>
      </c>
      <c r="O24" s="254">
        <f>N24*VLOOKUP($I24,TabTur_2H[[Komponen]:[Kredit]],2,FALSE)</f>
        <v>0</v>
      </c>
    </row>
    <row r="26" spans="9:23" x14ac:dyDescent="0.2">
      <c r="I26" s="242" t="s">
        <v>721</v>
      </c>
      <c r="J26" s="241"/>
      <c r="K26" s="242"/>
      <c r="L26" s="242"/>
      <c r="M26" s="242"/>
      <c r="N26" s="242"/>
      <c r="O26" s="242"/>
      <c r="P26" s="264"/>
      <c r="Q26" s="218"/>
      <c r="R26" s="27"/>
      <c r="S26" s="27"/>
      <c r="T26" s="27"/>
      <c r="U26" s="27"/>
      <c r="V26" s="27"/>
      <c r="W26" s="27"/>
    </row>
  </sheetData>
  <mergeCells count="7">
    <mergeCell ref="N15:O15"/>
    <mergeCell ref="J14:O14"/>
    <mergeCell ref="J5:M5"/>
    <mergeCell ref="J15:K15"/>
    <mergeCell ref="L15:M15"/>
    <mergeCell ref="J8:K8"/>
    <mergeCell ref="L8:M8"/>
  </mergeCells>
  <dataValidations count="3">
    <dataValidation type="list" allowBlank="1" showInputMessage="1" showErrorMessage="1" sqref="G7:G8" xr:uid="{00000000-0002-0000-1200-000000000000}">
      <formula1>TabutPilihanIsi</formula1>
    </dataValidation>
    <dataValidation type="list" allowBlank="1" showInputMessage="1" showErrorMessage="1" sqref="B7:B8" xr:uid="{00000000-0002-0000-1200-000001000000}">
      <formula1>TabutKalenderIsi</formula1>
    </dataValidation>
    <dataValidation type="list" allowBlank="1" showInputMessage="1" showErrorMessage="1" sqref="I17:I24 C7:C8" xr:uid="{00000000-0002-0000-1200-000002000000}">
      <formula1>TabutBahanAjarIsi</formula1>
    </dataValidation>
  </dataValidations>
  <pageMargins left="0.7" right="0.7" top="0.75" bottom="0.75" header="0.3" footer="0.3"/>
  <pageSetup paperSize="150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8"/>
  <sheetViews>
    <sheetView workbookViewId="0">
      <selection activeCell="C28" sqref="C28"/>
    </sheetView>
  </sheetViews>
  <sheetFormatPr baseColWidth="10" defaultColWidth="9.1640625" defaultRowHeight="15" x14ac:dyDescent="0.2"/>
  <cols>
    <col min="1" max="1" width="2.6640625" style="1" customWidth="1"/>
    <col min="2" max="2" width="12.5" style="1" customWidth="1"/>
    <col min="3" max="3" width="44.5" style="1" customWidth="1"/>
    <col min="4" max="6" width="12.5" style="1" customWidth="1"/>
    <col min="7" max="7" width="2.5" style="1" customWidth="1"/>
    <col min="8" max="8" width="14.83203125" style="1" customWidth="1"/>
    <col min="9" max="16384" width="9.1640625" style="1"/>
  </cols>
  <sheetData>
    <row r="1" spans="1:12" x14ac:dyDescent="0.2">
      <c r="A1" s="274" t="s">
        <v>418</v>
      </c>
      <c r="B1" s="26" t="s">
        <v>356</v>
      </c>
      <c r="C1" s="26"/>
      <c r="D1" s="27"/>
      <c r="E1" s="27"/>
      <c r="F1" s="27"/>
      <c r="G1" s="27"/>
    </row>
    <row r="2" spans="1:12" x14ac:dyDescent="0.2">
      <c r="B2" s="25" t="s">
        <v>92</v>
      </c>
      <c r="C2" s="26"/>
      <c r="D2" s="28"/>
      <c r="E2" s="28"/>
      <c r="F2" s="28"/>
      <c r="G2" s="28"/>
    </row>
    <row r="3" spans="1:12" ht="15" customHeight="1" x14ac:dyDescent="0.2">
      <c r="B3" s="315" t="str">
        <f>INDEX(TabRef2[],MATCH($B$2,TabRef2[Column3],0),4)</f>
        <v>Menyampaikan orasi ilmiah di tingkat perguruan tinggi</v>
      </c>
      <c r="C3" s="300"/>
      <c r="D3" s="300"/>
      <c r="E3" s="300"/>
      <c r="F3" s="300"/>
      <c r="G3" s="300"/>
    </row>
    <row r="5" spans="1:12" x14ac:dyDescent="0.2">
      <c r="B5" s="51" t="s">
        <v>411</v>
      </c>
      <c r="C5" s="51" t="s">
        <v>364</v>
      </c>
      <c r="D5" s="51" t="s">
        <v>405</v>
      </c>
      <c r="E5" s="51" t="s">
        <v>12</v>
      </c>
      <c r="F5" s="51" t="s">
        <v>372</v>
      </c>
      <c r="H5" s="243"/>
      <c r="I5" s="554" t="s">
        <v>420</v>
      </c>
      <c r="J5" s="556"/>
      <c r="K5" s="556"/>
      <c r="L5" s="555"/>
    </row>
    <row r="6" spans="1:12" ht="15" hidden="1" customHeight="1" x14ac:dyDescent="0.2">
      <c r="B6" s="50" t="s">
        <v>722</v>
      </c>
      <c r="C6" s="50" t="s">
        <v>723</v>
      </c>
      <c r="D6" s="50" t="s">
        <v>724</v>
      </c>
      <c r="E6" s="50" t="s">
        <v>725</v>
      </c>
      <c r="F6" s="50" t="s">
        <v>726</v>
      </c>
      <c r="H6" s="244"/>
      <c r="I6" s="265"/>
      <c r="J6" s="265"/>
      <c r="K6" s="265"/>
      <c r="L6" s="265"/>
    </row>
    <row r="7" spans="1:12" hidden="1" x14ac:dyDescent="0.2">
      <c r="B7" s="269"/>
      <c r="C7" s="271"/>
      <c r="D7" s="265">
        <f>IF(AND(ISTEXT(Tab2I[[#This Row],[Col1]]),ISTEXT(Tab2I[[#This Row],[Col2]])),1,0)</f>
        <v>0</v>
      </c>
      <c r="E7" s="265">
        <f>Tab2I[[#This Row],[Col3]]*VLOOKUP($A$1,TabTur_2BCFGI[[Komponen]:[Kredit]],2,FALSE)</f>
        <v>0</v>
      </c>
      <c r="F7" s="269"/>
      <c r="H7" s="244"/>
      <c r="I7" s="265"/>
      <c r="J7" s="265"/>
      <c r="K7" s="265"/>
      <c r="L7" s="265"/>
    </row>
    <row r="8" spans="1:12" x14ac:dyDescent="0.2">
      <c r="B8" s="49"/>
      <c r="C8" s="22"/>
      <c r="D8" s="247">
        <f>IF(AND(ISTEXT(Tab2I[[#This Row],[Col1]]),ISTEXT(Tab2I[[#This Row],[Col2]])),1,0)</f>
        <v>0</v>
      </c>
      <c r="E8" s="247">
        <f>Tab2I[[#This Row],[Col3]]*VLOOKUP($A$1,TabTur_2BCFGI[[Komponen]:[Kredit]],2,FALSE)</f>
        <v>0</v>
      </c>
      <c r="F8" s="49" t="s">
        <v>370</v>
      </c>
      <c r="H8" s="244"/>
      <c r="I8" s="552" t="s">
        <v>401</v>
      </c>
      <c r="J8" s="552"/>
      <c r="K8" s="552" t="s">
        <v>402</v>
      </c>
      <c r="L8" s="552"/>
    </row>
    <row r="9" spans="1:12" x14ac:dyDescent="0.2">
      <c r="H9" s="245"/>
      <c r="I9" s="265" t="s">
        <v>405</v>
      </c>
      <c r="J9" s="265" t="s">
        <v>12</v>
      </c>
      <c r="K9" s="265" t="s">
        <v>405</v>
      </c>
      <c r="L9" s="265" t="s">
        <v>12</v>
      </c>
    </row>
    <row r="10" spans="1:12" x14ac:dyDescent="0.2">
      <c r="H10" s="265" t="str">
        <f>TabelUtama!H3</f>
        <v>Semester 1</v>
      </c>
      <c r="I10" s="265">
        <f>SUMPRODUCT((Tab2I[Col1]=$H10)*(Tab2I[Col3]))</f>
        <v>0</v>
      </c>
      <c r="J10" s="265">
        <f>SUMPRODUCT((Tab2I[Col1]=$H$10)*(Tab2I[Col4]))</f>
        <v>0</v>
      </c>
      <c r="K10" s="265">
        <f>SUMPRODUCT((Tab2I[Col1]=H10)*(Tab2I[Col5]=TabelUtama!$J$3)*(Tab2I[Col3]))</f>
        <v>0</v>
      </c>
      <c r="L10" s="265">
        <f>J16</f>
        <v>0</v>
      </c>
    </row>
    <row r="11" spans="1:12" x14ac:dyDescent="0.2">
      <c r="H11" s="265" t="str">
        <f>TabelUtama!H4</f>
        <v>Semester 2</v>
      </c>
      <c r="I11" s="265">
        <f>SUMPRODUCT((Tab2I[Col1]=$H11)*(Tab2I[Col3]))</f>
        <v>0</v>
      </c>
      <c r="J11" s="265">
        <f>SUMPRODUCT((Tab2I[Col1]=$H$11)*(Tab2I[Col4]))</f>
        <v>0</v>
      </c>
      <c r="K11" s="265">
        <f>SUMPRODUCT((Tab2I[Col1]=H11)*(Tab2I[Col5]=TabelUtama!$J$3)*(Tab2I[Col3]))</f>
        <v>0</v>
      </c>
      <c r="L11" s="265">
        <f>L16</f>
        <v>0</v>
      </c>
    </row>
    <row r="13" spans="1:12" x14ac:dyDescent="0.2">
      <c r="I13" s="552" t="s">
        <v>422</v>
      </c>
      <c r="J13" s="552"/>
      <c r="K13" s="552"/>
      <c r="L13" s="552"/>
    </row>
    <row r="14" spans="1:12" x14ac:dyDescent="0.2">
      <c r="I14" s="552" t="str">
        <f>H10</f>
        <v>Semester 1</v>
      </c>
      <c r="J14" s="552"/>
      <c r="K14" s="552" t="str">
        <f>H11</f>
        <v>Semester 2</v>
      </c>
      <c r="L14" s="552"/>
    </row>
    <row r="15" spans="1:12" x14ac:dyDescent="0.2">
      <c r="I15" s="265" t="s">
        <v>421</v>
      </c>
      <c r="J15" s="265" t="s">
        <v>407</v>
      </c>
      <c r="K15" s="265" t="s">
        <v>421</v>
      </c>
      <c r="L15" s="265" t="s">
        <v>407</v>
      </c>
    </row>
    <row r="16" spans="1:12" x14ac:dyDescent="0.2">
      <c r="I16" s="265">
        <f>IF(SUMPRODUCT((Tab2I[Col1]=I$14)*(Tab2I[Col5]=Ya)*(Tab2I[Col3]))&gt;VLOOKUP($A$1,TabTur_2BCFGI[],3,FALSE),VLOOKUP($A$1,TabTur_2BCFGI[],3,FALSE),(SUMPRODUCT((Tab2I[Col1]=I$14)*(Tab2I[Col5]=Ya)*(Tab2I[Col3]))))</f>
        <v>0</v>
      </c>
      <c r="J16" s="265">
        <f>I16*VLOOKUP($A$1,TabTur_2BCFGI[[Komponen]:[Kredit]],2,FALSE)</f>
        <v>0</v>
      </c>
      <c r="K16" s="265">
        <f>IF(SUMPRODUCT((Tab2I[Col1]=K$14)*(Tab2I[Col5]=Ya)*(Tab2I[Col3]))&gt;VLOOKUP($A$1,TabTur_2BCFGI[],3,FALSE),VLOOKUP($A$1,TabTur_2BCFGI[],3,FALSE),(SUMPRODUCT((Tab2I[Col1]=K$14)*(Tab2I[Col5]=Ya)*(Tab2I[Col3]))))</f>
        <v>0</v>
      </c>
      <c r="L16" s="265">
        <f>K16*VLOOKUP($A$1,TabTur_2BCFGI[[Komponen]:[Kredit]],2,FALSE)</f>
        <v>0</v>
      </c>
    </row>
    <row r="18" spans="8:12" x14ac:dyDescent="0.2">
      <c r="H18" s="262" t="s">
        <v>721</v>
      </c>
      <c r="I18" s="263"/>
      <c r="J18" s="262"/>
      <c r="K18" s="262"/>
      <c r="L18" s="262"/>
    </row>
  </sheetData>
  <mergeCells count="6">
    <mergeCell ref="I5:L5"/>
    <mergeCell ref="I14:J14"/>
    <mergeCell ref="K14:L14"/>
    <mergeCell ref="I8:J8"/>
    <mergeCell ref="K8:L8"/>
    <mergeCell ref="I13:L13"/>
  </mergeCells>
  <dataValidations count="2">
    <dataValidation type="list" allowBlank="1" showInputMessage="1" showErrorMessage="1" sqref="B7:B8" xr:uid="{00000000-0002-0000-1300-000000000000}">
      <formula1>TabutKalenderIsi</formula1>
    </dataValidation>
    <dataValidation type="list" allowBlank="1" showInputMessage="1" showErrorMessage="1" sqref="F7:F8" xr:uid="{00000000-0002-0000-1300-000001000000}">
      <formula1>TabutPilihanIsi</formula1>
    </dataValidation>
  </dataValidations>
  <pageMargins left="0.7" right="0.7" top="0.75" bottom="0.75" header="0.3" footer="0.3"/>
  <pageSetup paperSize="150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43"/>
  <sheetViews>
    <sheetView workbookViewId="0">
      <selection activeCell="C8" sqref="C8"/>
    </sheetView>
  </sheetViews>
  <sheetFormatPr baseColWidth="10" defaultColWidth="9.1640625" defaultRowHeight="15" x14ac:dyDescent="0.2"/>
  <cols>
    <col min="1" max="1" width="3.33203125" style="1" customWidth="1"/>
    <col min="2" max="2" width="12.5" style="1" customWidth="1"/>
    <col min="3" max="3" width="28.83203125" style="1" bestFit="1" customWidth="1"/>
    <col min="4" max="4" width="16.5" style="1" customWidth="1"/>
    <col min="5" max="6" width="5.6640625" style="1" customWidth="1"/>
    <col min="7" max="7" width="16.5" style="1" customWidth="1"/>
    <col min="8" max="8" width="2.5" style="1" customWidth="1"/>
    <col min="9" max="9" width="38.83203125" style="1" customWidth="1"/>
    <col min="10" max="16384" width="9.1640625" style="1"/>
  </cols>
  <sheetData>
    <row r="1" spans="1:13" x14ac:dyDescent="0.2">
      <c r="A1" s="274" t="s">
        <v>421</v>
      </c>
      <c r="B1" s="26" t="s">
        <v>356</v>
      </c>
      <c r="C1" s="26"/>
      <c r="D1" s="27"/>
      <c r="E1" s="27"/>
      <c r="F1" s="27"/>
      <c r="G1" s="27"/>
    </row>
    <row r="2" spans="1:13" x14ac:dyDescent="0.2">
      <c r="B2" s="25" t="s">
        <v>93</v>
      </c>
      <c r="C2" s="26"/>
      <c r="D2" s="28"/>
      <c r="E2" s="28"/>
      <c r="F2" s="28"/>
      <c r="G2" s="28"/>
    </row>
    <row r="3" spans="1:13" ht="15" customHeight="1" x14ac:dyDescent="0.2">
      <c r="B3" s="315" t="str">
        <f>INDEX(TabRef2[],MATCH($B$2,TabRef2[Column3],0),4)</f>
        <v>Menduduki jabatan pimpinan perguruan tinggi (setiap semester)</v>
      </c>
      <c r="C3" s="300"/>
      <c r="D3" s="300"/>
      <c r="E3" s="300"/>
      <c r="F3" s="300"/>
      <c r="G3" s="300"/>
    </row>
    <row r="5" spans="1:13" x14ac:dyDescent="0.2">
      <c r="B5" s="53" t="s">
        <v>411</v>
      </c>
      <c r="C5" s="53" t="s">
        <v>440</v>
      </c>
      <c r="D5" s="53" t="s">
        <v>464</v>
      </c>
      <c r="E5" s="53" t="s">
        <v>405</v>
      </c>
      <c r="F5" s="53" t="s">
        <v>12</v>
      </c>
      <c r="G5" s="53" t="s">
        <v>372</v>
      </c>
      <c r="I5" s="243"/>
      <c r="J5" s="554" t="s">
        <v>420</v>
      </c>
      <c r="K5" s="556"/>
      <c r="L5" s="556"/>
      <c r="M5" s="555"/>
    </row>
    <row r="6" spans="1:13" ht="15" hidden="1" customHeight="1" x14ac:dyDescent="0.2">
      <c r="B6" s="50" t="s">
        <v>722</v>
      </c>
      <c r="C6" s="50" t="s">
        <v>723</v>
      </c>
      <c r="D6" s="50" t="s">
        <v>724</v>
      </c>
      <c r="E6" s="50" t="s">
        <v>725</v>
      </c>
      <c r="F6" s="50" t="s">
        <v>726</v>
      </c>
      <c r="G6" s="50" t="s">
        <v>727</v>
      </c>
      <c r="I6" s="244"/>
      <c r="J6" s="265"/>
      <c r="K6" s="265"/>
      <c r="L6" s="265"/>
      <c r="M6" s="265"/>
    </row>
    <row r="7" spans="1:13" hidden="1" x14ac:dyDescent="0.2">
      <c r="B7" s="269"/>
      <c r="C7" s="270"/>
      <c r="D7" s="271"/>
      <c r="E7" s="265">
        <f>IF(AND(ISTEXT(Tab2J[[#This Row],[Col1]]),ISTEXT(Tab2J[[#This Row],[Col3]]),ISTEXT(Tab2J[[#This Row],[Col2]])),1,0)</f>
        <v>0</v>
      </c>
      <c r="F7" s="265">
        <f>IFERROR(Tab2J[[#This Row],[Col4]]*VLOOKUP(Tab2J[[#This Row],[Col2]],TabTur_2J[],2,FALSE),0)</f>
        <v>0</v>
      </c>
      <c r="G7" s="269"/>
      <c r="I7" s="244"/>
      <c r="J7" s="265"/>
      <c r="K7" s="265"/>
      <c r="L7" s="265"/>
      <c r="M7" s="265"/>
    </row>
    <row r="8" spans="1:13" x14ac:dyDescent="0.2">
      <c r="B8" s="49"/>
      <c r="C8" s="50"/>
      <c r="D8" s="22"/>
      <c r="E8" s="265">
        <f>IF(AND(ISTEXT(Tab2J[[#This Row],[Col1]]),ISTEXT(Tab2J[[#This Row],[Col3]]),ISTEXT(Tab2J[[#This Row],[Col2]])),1,0)</f>
        <v>0</v>
      </c>
      <c r="F8" s="265">
        <f>IFERROR(Tab2J[[#This Row],[Col4]]*VLOOKUP(Tab2J[[#This Row],[Col2]],TabTur_2J[],2,FALSE),0)</f>
        <v>0</v>
      </c>
      <c r="G8" s="49" t="s">
        <v>370</v>
      </c>
      <c r="I8" s="244"/>
      <c r="J8" s="552" t="s">
        <v>401</v>
      </c>
      <c r="K8" s="552"/>
      <c r="L8" s="552" t="s">
        <v>402</v>
      </c>
      <c r="M8" s="552"/>
    </row>
    <row r="9" spans="1:13" x14ac:dyDescent="0.2">
      <c r="I9" s="245"/>
      <c r="J9" s="265" t="s">
        <v>405</v>
      </c>
      <c r="K9" s="265" t="s">
        <v>12</v>
      </c>
      <c r="L9" s="265" t="s">
        <v>405</v>
      </c>
      <c r="M9" s="265" t="s">
        <v>12</v>
      </c>
    </row>
    <row r="10" spans="1:13" x14ac:dyDescent="0.2">
      <c r="I10" s="265" t="str">
        <f>TabelUtama!H3</f>
        <v>Semester 1</v>
      </c>
      <c r="J10" s="265">
        <f>SUMPRODUCT((Tab2J[Col1]=$I10)*(Tab2J[Col4]))</f>
        <v>0</v>
      </c>
      <c r="K10" s="265">
        <f>SUMPRODUCT((Tab2J[Col1]=$I$10)*(Tab2J[Col5]))</f>
        <v>0</v>
      </c>
      <c r="L10" s="265">
        <f>SUMPRODUCT((Tab2J[Col1]=I10)*(Tab2J[Col6]=Ya)*(Tab2J[Col4]))</f>
        <v>0</v>
      </c>
      <c r="M10" s="265">
        <f>MAX(Tab2JStruktural[Ak])</f>
        <v>0</v>
      </c>
    </row>
    <row r="11" spans="1:13" x14ac:dyDescent="0.2">
      <c r="I11" s="265" t="str">
        <f>TabelUtama!H4</f>
        <v>Semester 2</v>
      </c>
      <c r="J11" s="265">
        <f>SUMPRODUCT((Tab2J[Col1]=$I11)*(Tab2J[Col4]))</f>
        <v>0</v>
      </c>
      <c r="K11" s="265">
        <f>SUMPRODUCT((Tab2J[Col1]=$I$11)*(Tab2J[Col5]))</f>
        <v>0</v>
      </c>
      <c r="L11" s="265">
        <f>SUMPRODUCT((Tab2J[Col1]=I11)*(Tab2J[Col6]=Ya)*(Tab2J[Col4]))</f>
        <v>0</v>
      </c>
      <c r="M11" s="265">
        <f>MAX(Tab2JStruktural[Ak2])</f>
        <v>0</v>
      </c>
    </row>
    <row r="13" spans="1:13" x14ac:dyDescent="0.2">
      <c r="I13" s="243"/>
      <c r="J13" s="552" t="s">
        <v>422</v>
      </c>
      <c r="K13" s="552"/>
      <c r="L13" s="552"/>
      <c r="M13" s="552"/>
    </row>
    <row r="14" spans="1:13" x14ac:dyDescent="0.2">
      <c r="I14" s="244"/>
      <c r="J14" s="552" t="str">
        <f>I10</f>
        <v>Semester 1</v>
      </c>
      <c r="K14" s="552"/>
      <c r="L14" s="552" t="str">
        <f>I11</f>
        <v>Semester 2</v>
      </c>
      <c r="M14" s="552"/>
    </row>
    <row r="15" spans="1:13" x14ac:dyDescent="0.2">
      <c r="I15" s="278" t="s">
        <v>440</v>
      </c>
      <c r="J15" s="267" t="s">
        <v>421</v>
      </c>
      <c r="K15" s="267" t="s">
        <v>407</v>
      </c>
      <c r="L15" s="267" t="s">
        <v>740</v>
      </c>
      <c r="M15" s="272" t="s">
        <v>639</v>
      </c>
    </row>
    <row r="16" spans="1:13" x14ac:dyDescent="0.2">
      <c r="I16" s="276" t="str">
        <f>TabelTurunan!B28</f>
        <v>Rektor</v>
      </c>
      <c r="J16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16" s="265">
        <f>Tab2JStruktural[[#This Row],[J]]*VLOOKUP(Tab2JStruktural[[#This Row],[Struktural]],TabTur_2J[],2,FALSE)</f>
        <v>0</v>
      </c>
      <c r="L16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16" s="277">
        <f>Tab2JStruktural[[#This Row],[J2]]*VLOOKUP(Tab2JStruktural[[#This Row],[Struktural]],TabTur_2J[],2,FALSE)</f>
        <v>0</v>
      </c>
    </row>
    <row r="17" spans="9:13" x14ac:dyDescent="0.2">
      <c r="I17" s="276" t="str">
        <f>TabelTurunan!B29</f>
        <v>Pembantu Rektor</v>
      </c>
      <c r="J17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17" s="265">
        <f>Tab2JStruktural[[#This Row],[J]]*VLOOKUP(Tab2JStruktural[[#This Row],[Struktural]],TabTur_2J[],2,FALSE)</f>
        <v>0</v>
      </c>
      <c r="L17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17" s="277">
        <f>Tab2JStruktural[[#This Row],[J2]]*VLOOKUP(Tab2JStruktural[[#This Row],[Struktural]],TabTur_2J[],2,FALSE)</f>
        <v>0</v>
      </c>
    </row>
    <row r="18" spans="9:13" x14ac:dyDescent="0.2">
      <c r="I18" s="276" t="str">
        <f>TabelTurunan!B30</f>
        <v>Wakil Rektor</v>
      </c>
      <c r="J18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18" s="265">
        <f>Tab2JStruktural[[#This Row],[J]]*VLOOKUP(Tab2JStruktural[[#This Row],[Struktural]],TabTur_2J[],2,FALSE)</f>
        <v>0</v>
      </c>
      <c r="L18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18" s="277">
        <f>Tab2JStruktural[[#This Row],[J2]]*VLOOKUP(Tab2JStruktural[[#This Row],[Struktural]],TabTur_2J[],2,FALSE)</f>
        <v>0</v>
      </c>
    </row>
    <row r="19" spans="9:13" x14ac:dyDescent="0.2">
      <c r="I19" s="276" t="str">
        <f>TabelTurunan!B31</f>
        <v>Dekan</v>
      </c>
      <c r="J19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19" s="265">
        <f>Tab2JStruktural[[#This Row],[J]]*VLOOKUP(Tab2JStruktural[[#This Row],[Struktural]],TabTur_2J[],2,FALSE)</f>
        <v>0</v>
      </c>
      <c r="L19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19" s="277">
        <f>Tab2JStruktural[[#This Row],[J2]]*VLOOKUP(Tab2JStruktural[[#This Row],[Struktural]],TabTur_2J[],2,FALSE)</f>
        <v>0</v>
      </c>
    </row>
    <row r="20" spans="9:13" x14ac:dyDescent="0.2">
      <c r="I20" s="276" t="str">
        <f>TabelTurunan!B32</f>
        <v>Direktur Pasca Sarjana</v>
      </c>
      <c r="J20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20" s="265">
        <f>Tab2JStruktural[[#This Row],[J]]*VLOOKUP(Tab2JStruktural[[#This Row],[Struktural]],TabTur_2J[],2,FALSE)</f>
        <v>0</v>
      </c>
      <c r="L20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20" s="277">
        <f>Tab2JStruktural[[#This Row],[J2]]*VLOOKUP(Tab2JStruktural[[#This Row],[Struktural]],TabTur_2J[],2,FALSE)</f>
        <v>0</v>
      </c>
    </row>
    <row r="21" spans="9:13" x14ac:dyDescent="0.2">
      <c r="I21" s="276" t="str">
        <f>TabelTurunan!B33</f>
        <v>Ketua Lembaga</v>
      </c>
      <c r="J21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21" s="265">
        <f>Tab2JStruktural[[#This Row],[J]]*VLOOKUP(Tab2JStruktural[[#This Row],[Struktural]],TabTur_2J[],2,FALSE)</f>
        <v>0</v>
      </c>
      <c r="L21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21" s="277">
        <f>Tab2JStruktural[[#This Row],[J2]]*VLOOKUP(Tab2JStruktural[[#This Row],[Struktural]],TabTur_2J[],2,FALSE)</f>
        <v>0</v>
      </c>
    </row>
    <row r="22" spans="9:13" x14ac:dyDescent="0.2">
      <c r="I22" s="276" t="str">
        <f>TabelTurunan!B34</f>
        <v>Ketua Sekolah Tinggi</v>
      </c>
      <c r="J22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22" s="265">
        <f>Tab2JStruktural[[#This Row],[J]]*VLOOKUP(Tab2JStruktural[[#This Row],[Struktural]],TabTur_2J[],2,FALSE)</f>
        <v>0</v>
      </c>
      <c r="L22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22" s="277">
        <f>Tab2JStruktural[[#This Row],[J2]]*VLOOKUP(Tab2JStruktural[[#This Row],[Struktural]],TabTur_2J[],2,FALSE)</f>
        <v>0</v>
      </c>
    </row>
    <row r="23" spans="9:13" x14ac:dyDescent="0.2">
      <c r="I23" s="276" t="str">
        <f>TabelTurunan!B35</f>
        <v>Pembantu Dekan</v>
      </c>
      <c r="J23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23" s="265">
        <f>Tab2JStruktural[[#This Row],[J]]*VLOOKUP(Tab2JStruktural[[#This Row],[Struktural]],TabTur_2J[],2,FALSE)</f>
        <v>0</v>
      </c>
      <c r="L23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23" s="277">
        <f>Tab2JStruktural[[#This Row],[J2]]*VLOOKUP(Tab2JStruktural[[#This Row],[Struktural]],TabTur_2J[],2,FALSE)</f>
        <v>0</v>
      </c>
    </row>
    <row r="24" spans="9:13" x14ac:dyDescent="0.2">
      <c r="I24" s="276" t="str">
        <f>TabelTurunan!B36</f>
        <v>Asisten Direktur Pasca Sarjana</v>
      </c>
      <c r="J24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24" s="265">
        <f>Tab2JStruktural[[#This Row],[J]]*VLOOKUP(Tab2JStruktural[[#This Row],[Struktural]],TabTur_2J[],2,FALSE)</f>
        <v>0</v>
      </c>
      <c r="L24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24" s="277">
        <f>Tab2JStruktural[[#This Row],[J2]]*VLOOKUP(Tab2JStruktural[[#This Row],[Struktural]],TabTur_2J[],2,FALSE)</f>
        <v>0</v>
      </c>
    </row>
    <row r="25" spans="9:13" x14ac:dyDescent="0.2">
      <c r="I25" s="276" t="str">
        <f>TabelTurunan!B37</f>
        <v>Direktur Politeknik</v>
      </c>
      <c r="J25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25" s="265">
        <f>Tab2JStruktural[[#This Row],[J]]*VLOOKUP(Tab2JStruktural[[#This Row],[Struktural]],TabTur_2J[],2,FALSE)</f>
        <v>0</v>
      </c>
      <c r="L25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25" s="277">
        <f>Tab2JStruktural[[#This Row],[J2]]*VLOOKUP(Tab2JStruktural[[#This Row],[Struktural]],TabTur_2J[],2,FALSE)</f>
        <v>0</v>
      </c>
    </row>
    <row r="26" spans="9:13" x14ac:dyDescent="0.2">
      <c r="I26" s="276" t="str">
        <f>TabelTurunan!B38</f>
        <v>Pembantu Ketua Sekolah Tinggi</v>
      </c>
      <c r="J26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26" s="265">
        <f>Tab2JStruktural[[#This Row],[J]]*VLOOKUP(Tab2JStruktural[[#This Row],[Struktural]],TabTur_2J[],2,FALSE)</f>
        <v>0</v>
      </c>
      <c r="L26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26" s="277">
        <f>Tab2JStruktural[[#This Row],[J2]]*VLOOKUP(Tab2JStruktural[[#This Row],[Struktural]],TabTur_2J[],2,FALSE)</f>
        <v>0</v>
      </c>
    </row>
    <row r="27" spans="9:13" x14ac:dyDescent="0.2">
      <c r="I27" s="276" t="str">
        <f>TabelTurunan!B39</f>
        <v>Pembantu Direktur Politeknik</v>
      </c>
      <c r="J27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27" s="265">
        <f>Tab2JStruktural[[#This Row],[J]]*VLOOKUP(Tab2JStruktural[[#This Row],[Struktural]],TabTur_2J[],2,FALSE)</f>
        <v>0</v>
      </c>
      <c r="L27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27" s="277">
        <f>Tab2JStruktural[[#This Row],[J2]]*VLOOKUP(Tab2JStruktural[[#This Row],[Struktural]],TabTur_2J[],2,FALSE)</f>
        <v>0</v>
      </c>
    </row>
    <row r="28" spans="9:13" x14ac:dyDescent="0.2">
      <c r="I28" s="276" t="str">
        <f>TabelTurunan!B40</f>
        <v>Direktur Akademi</v>
      </c>
      <c r="J28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28" s="265">
        <f>Tab2JStruktural[[#This Row],[J]]*VLOOKUP(Tab2JStruktural[[#This Row],[Struktural]],TabTur_2J[],2,FALSE)</f>
        <v>0</v>
      </c>
      <c r="L28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28" s="277">
        <f>Tab2JStruktural[[#This Row],[J2]]*VLOOKUP(Tab2JStruktural[[#This Row],[Struktural]],TabTur_2J[],2,FALSE)</f>
        <v>0</v>
      </c>
    </row>
    <row r="29" spans="9:13" x14ac:dyDescent="0.2">
      <c r="I29" s="276" t="str">
        <f>TabelTurunan!B41</f>
        <v>Pembantu Direktur Akademi</v>
      </c>
      <c r="J29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29" s="265">
        <f>Tab2JStruktural[[#This Row],[J]]*VLOOKUP(Tab2JStruktural[[#This Row],[Struktural]],TabTur_2J[],2,FALSE)</f>
        <v>0</v>
      </c>
      <c r="L29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29" s="277">
        <f>Tab2JStruktural[[#This Row],[J2]]*VLOOKUP(Tab2JStruktural[[#This Row],[Struktural]],TabTur_2J[],2,FALSE)</f>
        <v>0</v>
      </c>
    </row>
    <row r="30" spans="9:13" x14ac:dyDescent="0.2">
      <c r="I30" s="276" t="str">
        <f>TabelTurunan!B42</f>
        <v>Ketua Jurusan/Bagian (Universitas)</v>
      </c>
      <c r="J30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30" s="265">
        <f>Tab2JStruktural[[#This Row],[J]]*VLOOKUP(Tab2JStruktural[[#This Row],[Struktural]],TabTur_2J[],2,FALSE)</f>
        <v>0</v>
      </c>
      <c r="L30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30" s="277">
        <f>Tab2JStruktural[[#This Row],[J2]]*VLOOKUP(Tab2JStruktural[[#This Row],[Struktural]],TabTur_2J[],2,FALSE)</f>
        <v>0</v>
      </c>
    </row>
    <row r="31" spans="9:13" x14ac:dyDescent="0.2">
      <c r="I31" s="276" t="str">
        <f>TabelTurunan!B43</f>
        <v>Ketua Jurusan/Bagian (Institut)</v>
      </c>
      <c r="J31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31" s="265">
        <f>Tab2JStruktural[[#This Row],[J]]*VLOOKUP(Tab2JStruktural[[#This Row],[Struktural]],TabTur_2J[],2,FALSE)</f>
        <v>0</v>
      </c>
      <c r="L31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31" s="277">
        <f>Tab2JStruktural[[#This Row],[J2]]*VLOOKUP(Tab2JStruktural[[#This Row],[Struktural]],TabTur_2J[],2,FALSE)</f>
        <v>0</v>
      </c>
    </row>
    <row r="32" spans="9:13" x14ac:dyDescent="0.2">
      <c r="I32" s="276" t="str">
        <f>TabelTurunan!B44</f>
        <v>Ketua Jurusan/Bagian (Sekolah Tinggi)</v>
      </c>
      <c r="J32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32" s="265">
        <f>Tab2JStruktural[[#This Row],[J]]*VLOOKUP(Tab2JStruktural[[#This Row],[Struktural]],TabTur_2J[],2,FALSE)</f>
        <v>0</v>
      </c>
      <c r="L32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32" s="277">
        <f>Tab2JStruktural[[#This Row],[J2]]*VLOOKUP(Tab2JStruktural[[#This Row],[Struktural]],TabTur_2J[],2,FALSE)</f>
        <v>0</v>
      </c>
    </row>
    <row r="33" spans="9:13" x14ac:dyDescent="0.2">
      <c r="I33" s="276" t="str">
        <f>TabelTurunan!B45</f>
        <v>Ketua Jurusan (Politeknik)</v>
      </c>
      <c r="J33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33" s="265">
        <f>Tab2JStruktural[[#This Row],[J]]*VLOOKUP(Tab2JStruktural[[#This Row],[Struktural]],TabTur_2J[],2,FALSE)</f>
        <v>0</v>
      </c>
      <c r="L33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33" s="277">
        <f>Tab2JStruktural[[#This Row],[J2]]*VLOOKUP(Tab2JStruktural[[#This Row],[Struktural]],TabTur_2J[],2,FALSE)</f>
        <v>0</v>
      </c>
    </row>
    <row r="34" spans="9:13" x14ac:dyDescent="0.2">
      <c r="I34" s="276" t="str">
        <f>TabelTurunan!B46</f>
        <v>Ketua Jurusan (Akademi)</v>
      </c>
      <c r="J34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34" s="265">
        <f>Tab2JStruktural[[#This Row],[J]]*VLOOKUP(Tab2JStruktural[[#This Row],[Struktural]],TabTur_2J[],2,FALSE)</f>
        <v>0</v>
      </c>
      <c r="L34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34" s="277">
        <f>Tab2JStruktural[[#This Row],[J2]]*VLOOKUP(Tab2JStruktural[[#This Row],[Struktural]],TabTur_2J[],2,FALSE)</f>
        <v>0</v>
      </c>
    </row>
    <row r="35" spans="9:13" x14ac:dyDescent="0.2">
      <c r="I35" s="276" t="str">
        <f>TabelTurunan!B47</f>
        <v>Sekretaris Jurusan/Bagian (Universitas)</v>
      </c>
      <c r="J35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35" s="265">
        <f>Tab2JStruktural[[#This Row],[J]]*VLOOKUP(Tab2JStruktural[[#This Row],[Struktural]],TabTur_2J[],2,FALSE)</f>
        <v>0</v>
      </c>
      <c r="L35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35" s="277">
        <f>Tab2JStruktural[[#This Row],[J2]]*VLOOKUP(Tab2JStruktural[[#This Row],[Struktural]],TabTur_2J[],2,FALSE)</f>
        <v>0</v>
      </c>
    </row>
    <row r="36" spans="9:13" x14ac:dyDescent="0.2">
      <c r="I36" s="276" t="str">
        <f>TabelTurunan!B48</f>
        <v>Sekretaris Jurusan/Bagian (Institut)</v>
      </c>
      <c r="J36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36" s="265">
        <f>Tab2JStruktural[[#This Row],[J]]*VLOOKUP(Tab2JStruktural[[#This Row],[Struktural]],TabTur_2J[],2,FALSE)</f>
        <v>0</v>
      </c>
      <c r="L36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36" s="277">
        <f>Tab2JStruktural[[#This Row],[J2]]*VLOOKUP(Tab2JStruktural[[#This Row],[Struktural]],TabTur_2J[],2,FALSE)</f>
        <v>0</v>
      </c>
    </row>
    <row r="37" spans="9:13" x14ac:dyDescent="0.2">
      <c r="I37" s="276" t="str">
        <f>TabelTurunan!B49</f>
        <v>Sekretaris Jurusan/Bagian (Sekolah Tinggi)</v>
      </c>
      <c r="J37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37" s="265">
        <f>Tab2JStruktural[[#This Row],[J]]*VLOOKUP(Tab2JStruktural[[#This Row],[Struktural]],TabTur_2J[],2,FALSE)</f>
        <v>0</v>
      </c>
      <c r="L37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37" s="277">
        <f>Tab2JStruktural[[#This Row],[J2]]*VLOOKUP(Tab2JStruktural[[#This Row],[Struktural]],TabTur_2J[],2,FALSE)</f>
        <v>0</v>
      </c>
    </row>
    <row r="38" spans="9:13" x14ac:dyDescent="0.2">
      <c r="I38" s="276" t="str">
        <f>TabelTurunan!B50</f>
        <v>Sekretaris Jurusan (Politeknik)</v>
      </c>
      <c r="J38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38" s="265">
        <f>Tab2JStruktural[[#This Row],[J]]*VLOOKUP(Tab2JStruktural[[#This Row],[Struktural]],TabTur_2J[],2,FALSE)</f>
        <v>0</v>
      </c>
      <c r="L38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38" s="277">
        <f>Tab2JStruktural[[#This Row],[J2]]*VLOOKUP(Tab2JStruktural[[#This Row],[Struktural]],TabTur_2J[],2,FALSE)</f>
        <v>0</v>
      </c>
    </row>
    <row r="39" spans="9:13" x14ac:dyDescent="0.2">
      <c r="I39" s="276" t="str">
        <f>TabelTurunan!B51</f>
        <v>Sekretaris Jurusan (Akademi)</v>
      </c>
      <c r="J39" s="265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39" s="265">
        <f>Tab2JStruktural[[#This Row],[J]]*VLOOKUP(Tab2JStruktural[[#This Row],[Struktural]],TabTur_2J[],2,FALSE)</f>
        <v>0</v>
      </c>
      <c r="L39" s="265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39" s="277">
        <f>Tab2JStruktural[[#This Row],[J2]]*VLOOKUP(Tab2JStruktural[[#This Row],[Struktural]],TabTur_2J[],2,FALSE)</f>
        <v>0</v>
      </c>
    </row>
    <row r="40" spans="9:13" x14ac:dyDescent="0.2">
      <c r="I40" s="279" t="str">
        <f>TabelTurunan!B52</f>
        <v>Kepala Laboratorium (Bengkel)</v>
      </c>
      <c r="J40" s="266">
        <f>IF(SUMPRODUCT((Tab2J[Col1]=J$14)*(Tab2J[Col6]=Ya)*(Tab2J[Col2]=Tab2JStruktural[[#This Row],[Struktural]])*(Tab2J[Col4]))&gt;VLOOKUP(Tab2JStruktural[[#This Row],[Struktural]],TabTur_2J[],3,FALSE),VLOOKUP(Tab2JStruktural[[#This Row],[Struktural]],TabTur_2J[],3,FALSE),SUMPRODUCT((Tab2J[Col1]=J$14)*(Tab2J[Col6]=Ya)*(Tab2J[Col2]=Tab2JStruktural[[#This Row],[Struktural]])*(Tab2J[Col4])))</f>
        <v>0</v>
      </c>
      <c r="K40" s="266">
        <f>Tab2JStruktural[[#This Row],[J]]*VLOOKUP(Tab2JStruktural[[#This Row],[Struktural]],TabTur_2J[],2,FALSE)</f>
        <v>0</v>
      </c>
      <c r="L40" s="266">
        <f>IF(SUMPRODUCT((Tab2J[Col1]=L$14)*(Tab2J[Col6]=Ya)*(Tab2J[Col2]=Tab2JStruktural[[#This Row],[Struktural]])*(Tab2J[Col4]))&gt;VLOOKUP(Tab2JStruktural[[#This Row],[Struktural]],TabTur_2J[],3,FALSE),VLOOKUP(Tab2JStruktural[[#This Row],[Struktural]],TabTur_2J[],3,FALSE),SUMPRODUCT((Tab2J[Col1]=L$14)*(Tab2J[Col6]=Ya)*(Tab2J[Col2]=Tab2JStruktural[[#This Row],[Struktural]])*(Tab2J[Col4])))</f>
        <v>0</v>
      </c>
      <c r="M40" s="248">
        <f>Tab2JStruktural[[#This Row],[J2]]*VLOOKUP(Tab2JStruktural[[#This Row],[Struktural]],TabTur_2J[],2,FALSE)</f>
        <v>0</v>
      </c>
    </row>
    <row r="43" spans="9:13" x14ac:dyDescent="0.2">
      <c r="I43" s="242" t="s">
        <v>721</v>
      </c>
      <c r="J43" s="241"/>
      <c r="K43" s="242"/>
      <c r="L43" s="242"/>
      <c r="M43" s="242"/>
    </row>
  </sheetData>
  <mergeCells count="6">
    <mergeCell ref="J14:K14"/>
    <mergeCell ref="L14:M14"/>
    <mergeCell ref="J5:M5"/>
    <mergeCell ref="J8:K8"/>
    <mergeCell ref="L8:M8"/>
    <mergeCell ref="J13:M13"/>
  </mergeCells>
  <dataValidations count="3">
    <dataValidation type="list" allowBlank="1" showInputMessage="1" showErrorMessage="1" sqref="B7:B8" xr:uid="{00000000-0002-0000-1400-000000000000}">
      <formula1>TabutKalenderIsi</formula1>
    </dataValidation>
    <dataValidation type="list" allowBlank="1" showInputMessage="1" showErrorMessage="1" sqref="G7:G8" xr:uid="{00000000-0002-0000-1400-000001000000}">
      <formula1>TabutPilihanIsi</formula1>
    </dataValidation>
    <dataValidation type="list" allowBlank="1" showInputMessage="1" showErrorMessage="1" sqref="C7:C8" xr:uid="{00000000-0002-0000-1400-000002000000}">
      <formula1>TabutStrukturalIsi</formula1>
    </dataValidation>
  </dataValidations>
  <pageMargins left="0.7" right="0.7" top="0.75" bottom="0.75" header="0.3" footer="0.3"/>
  <pageSetup paperSize="150" orientation="portrait" r:id="rId1"/>
  <tableParts count="2"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M19"/>
  <sheetViews>
    <sheetView workbookViewId="0">
      <selection activeCell="J11" sqref="J11"/>
    </sheetView>
  </sheetViews>
  <sheetFormatPr baseColWidth="10" defaultColWidth="9.1640625" defaultRowHeight="15" x14ac:dyDescent="0.2"/>
  <cols>
    <col min="1" max="1" width="2.33203125" style="1" customWidth="1"/>
    <col min="2" max="2" width="12.5" style="1" customWidth="1"/>
    <col min="3" max="3" width="15" style="1" customWidth="1"/>
    <col min="4" max="4" width="36" style="1" customWidth="1"/>
    <col min="5" max="7" width="16.5" style="1" customWidth="1"/>
    <col min="8" max="8" width="2.5" style="1" customWidth="1"/>
    <col min="9" max="9" width="19.1640625" style="1" customWidth="1"/>
    <col min="10" max="16384" width="9.1640625" style="1"/>
  </cols>
  <sheetData>
    <row r="1" spans="2:13" x14ac:dyDescent="0.2">
      <c r="B1" s="26" t="s">
        <v>356</v>
      </c>
      <c r="C1" s="26"/>
      <c r="D1" s="27"/>
      <c r="E1" s="27"/>
      <c r="F1" s="27"/>
      <c r="G1" s="27"/>
    </row>
    <row r="2" spans="2:13" x14ac:dyDescent="0.2">
      <c r="B2" s="25" t="s">
        <v>107</v>
      </c>
      <c r="C2" s="26"/>
      <c r="D2" s="28"/>
      <c r="E2" s="28"/>
      <c r="F2" s="28"/>
      <c r="G2" s="28"/>
    </row>
    <row r="3" spans="2:13" ht="15" customHeight="1" x14ac:dyDescent="0.2">
      <c r="B3" s="315" t="str">
        <f>INDEX(TabRef2[],MATCH($B$2,TabRef2[Column3],0),4)</f>
        <v>Membimbing dosen yang mempunyai jabatan akademik lebih rendah setiap semester (bagi dosen Lektor Kepala ke atas)</v>
      </c>
      <c r="C3" s="300"/>
      <c r="D3" s="300"/>
      <c r="E3" s="300"/>
      <c r="F3" s="300"/>
      <c r="G3" s="300"/>
    </row>
    <row r="5" spans="2:13" x14ac:dyDescent="0.2">
      <c r="B5" s="54" t="s">
        <v>411</v>
      </c>
      <c r="C5" s="54" t="s">
        <v>378</v>
      </c>
      <c r="D5" s="54" t="s">
        <v>467</v>
      </c>
      <c r="E5" s="54" t="s">
        <v>405</v>
      </c>
      <c r="F5" s="54" t="s">
        <v>12</v>
      </c>
      <c r="G5" s="54" t="s">
        <v>372</v>
      </c>
      <c r="I5" s="243"/>
      <c r="J5" s="554" t="s">
        <v>420</v>
      </c>
      <c r="K5" s="556"/>
      <c r="L5" s="556"/>
      <c r="M5" s="555"/>
    </row>
    <row r="6" spans="2:13" ht="15" hidden="1" customHeight="1" x14ac:dyDescent="0.2">
      <c r="B6" s="50" t="s">
        <v>722</v>
      </c>
      <c r="C6" s="50" t="s">
        <v>723</v>
      </c>
      <c r="D6" s="50" t="s">
        <v>724</v>
      </c>
      <c r="E6" s="50" t="s">
        <v>725</v>
      </c>
      <c r="F6" s="50" t="s">
        <v>726</v>
      </c>
      <c r="G6" s="50" t="s">
        <v>727</v>
      </c>
      <c r="I6" s="244"/>
      <c r="J6" s="265"/>
      <c r="K6" s="265"/>
      <c r="L6" s="265"/>
      <c r="M6" s="265"/>
    </row>
    <row r="7" spans="2:13" hidden="1" x14ac:dyDescent="0.2">
      <c r="B7" s="269"/>
      <c r="C7" s="270"/>
      <c r="D7" s="271"/>
      <c r="E7" s="265">
        <f>IF(AND(ISTEXT(Tab2K[[#This Row],[Col1]]),ISTEXT(Tab2K[[#This Row],[Col3]]),ISTEXT(Tab2K[[#This Row],[Col2]])),1,0)</f>
        <v>0</v>
      </c>
      <c r="F7" s="265">
        <f t="array" ref="F7">IFERROR(Tab2K[[#This Row],[Col4]]*INDEX(TabTur_2K[Kredit],MATCH(1,(__pns_jabatan=TabTur_2K[Jabatan])*(Tab2K[[#This Row],[Col2]]=TabTur_2K[Komponen]),0),1),0)</f>
        <v>0</v>
      </c>
      <c r="G7" s="269"/>
      <c r="I7" s="244"/>
      <c r="J7" s="265"/>
      <c r="K7" s="265"/>
      <c r="L7" s="265"/>
      <c r="M7" s="265"/>
    </row>
    <row r="8" spans="2:13" x14ac:dyDescent="0.2">
      <c r="B8" s="49"/>
      <c r="C8" s="50"/>
      <c r="D8" s="22"/>
      <c r="E8" s="265">
        <f>IF(AND(ISTEXT(Tab2K[[#This Row],[Col1]]),ISTEXT(Tab2K[[#This Row],[Col3]]),ISTEXT(Tab2K[[#This Row],[Col2]])),1,0)</f>
        <v>0</v>
      </c>
      <c r="F8" s="265">
        <f t="array" ref="F8">IFERROR(Tab2K[[#This Row],[Col4]]*INDEX(TabTur_2K[Kredit],MATCH(1,(__pns_jabatan=TabTur_2K[Jabatan])*(Tab2K[[#This Row],[Col2]]=TabTur_2K[Komponen]),0),1),0)</f>
        <v>0</v>
      </c>
      <c r="G8" s="49" t="s">
        <v>370</v>
      </c>
      <c r="I8" s="244"/>
      <c r="J8" s="552" t="s">
        <v>401</v>
      </c>
      <c r="K8" s="552"/>
      <c r="L8" s="552" t="s">
        <v>402</v>
      </c>
      <c r="M8" s="552"/>
    </row>
    <row r="9" spans="2:13" x14ac:dyDescent="0.2">
      <c r="I9" s="245"/>
      <c r="J9" s="265" t="s">
        <v>405</v>
      </c>
      <c r="K9" s="265" t="s">
        <v>12</v>
      </c>
      <c r="L9" s="265" t="s">
        <v>405</v>
      </c>
      <c r="M9" s="265" t="s">
        <v>12</v>
      </c>
    </row>
    <row r="10" spans="2:13" x14ac:dyDescent="0.2">
      <c r="I10" s="265" t="str">
        <f>TabelUtama!H3</f>
        <v>Semester 1</v>
      </c>
      <c r="J10" s="265">
        <f>SUMPRODUCT((Tab2K[Col1]=$I10)*(Tab2K[Col4]))</f>
        <v>0</v>
      </c>
      <c r="K10" s="265">
        <f>SUMPRODUCT((Tab2K[Col1]=$I$10)*(Tab2K[Col5]))</f>
        <v>0</v>
      </c>
      <c r="L10" s="265">
        <f>SUMPRODUCT((Tab2K[Col1]=I10)*(Tab2K[Col6]=Ya)*(Tab2K[Col4]))</f>
        <v>0</v>
      </c>
      <c r="M10" s="265">
        <f>MAX(K16:K17)</f>
        <v>0</v>
      </c>
    </row>
    <row r="11" spans="2:13" x14ac:dyDescent="0.2">
      <c r="I11" s="265" t="str">
        <f>TabelUtama!H4</f>
        <v>Semester 2</v>
      </c>
      <c r="J11" s="265">
        <f>SUMPRODUCT((Tab2K[Col1]=$I11)*(Tab2K[Col4]))</f>
        <v>0</v>
      </c>
      <c r="K11" s="265">
        <f>SUMPRODUCT((Tab2K[Col1]=$I$11)*(Tab2K[Col5]))</f>
        <v>0</v>
      </c>
      <c r="L11" s="265">
        <f>SUMPRODUCT((Tab2K[Col1]=I11)*(Tab2K[Col6]=Ya)*(Tab2K[Col4]))</f>
        <v>0</v>
      </c>
      <c r="M11" s="265">
        <f>MAX(M16:M17)</f>
        <v>0</v>
      </c>
    </row>
    <row r="13" spans="2:13" x14ac:dyDescent="0.2">
      <c r="I13" s="557"/>
      <c r="J13" s="552" t="s">
        <v>422</v>
      </c>
      <c r="K13" s="552"/>
      <c r="L13" s="552"/>
      <c r="M13" s="552"/>
    </row>
    <row r="14" spans="2:13" x14ac:dyDescent="0.2">
      <c r="I14" s="558"/>
      <c r="J14" s="552" t="str">
        <f>I10</f>
        <v>Semester 1</v>
      </c>
      <c r="K14" s="552"/>
      <c r="L14" s="552" t="str">
        <f>I11</f>
        <v>Semester 2</v>
      </c>
      <c r="M14" s="552"/>
    </row>
    <row r="15" spans="2:13" x14ac:dyDescent="0.2">
      <c r="I15" s="559"/>
      <c r="J15" s="265" t="s">
        <v>421</v>
      </c>
      <c r="K15" s="265" t="s">
        <v>407</v>
      </c>
      <c r="L15" s="265" t="s">
        <v>421</v>
      </c>
      <c r="M15" s="265" t="s">
        <v>407</v>
      </c>
    </row>
    <row r="16" spans="2:13" x14ac:dyDescent="0.2">
      <c r="I16" s="251" t="s">
        <v>112</v>
      </c>
      <c r="J16" s="265">
        <f>IF(SUMPRODUCT((Tab2K[Col1]=J$14)*(Tab2K[Col6]=Ya)*(Tab2K[Col2]=$I16)*(Tab2K[Col4]))&gt;SUMPRODUCT((TabTur_2K[Jabatan]=__pns_jabatan)*(TabTur_2K[Komponen]='II.K.'!$I16)*(TabTur_2K[Maksimal])),SUMPRODUCT((TabTur_2K[Jabatan]=__pns_jabatan)*(TabTur_2K[Komponen]='II.K.'!$I16)*(TabTur_2K[Maksimal])),SUMPRODUCT((Tab2K[Col1]=J$14)*(Tab2K[Col6]=Ya)*(Tab2K[Col2]=$I16)*(Tab2K[Col4])))</f>
        <v>0</v>
      </c>
      <c r="K16" s="265">
        <f>J16*SUMPRODUCT((TabTur_2K[Jabatan]=__pns_jabatan)*(TabTur_2K[Komponen]='II.K.'!$I16)*(TabTur_2K[Kredit]))</f>
        <v>0</v>
      </c>
      <c r="L16" s="265">
        <f>IF(SUMPRODUCT((Tab2K[Col1]=L$14)*(Tab2K[Col6]=Ya)*(Tab2K[Col2]=$I16)*(Tab2K[Col4]))&gt;SUMPRODUCT((TabTur_2K[Jabatan]=__pns_jabatan)*(TabTur_2K[Komponen]='II.K.'!$I16)*(TabTur_2K[Maksimal])),SUMPRODUCT((TabTur_2K[Jabatan]=__pns_jabatan)*(TabTur_2K[Komponen]='II.K.'!$I16)*(TabTur_2K[Maksimal])),SUMPRODUCT((Tab2K[Col1]=L$14)*(Tab2K[Col6]=Ya)*(Tab2K[Col2]=$I16)*(Tab2K[Col4])))</f>
        <v>0</v>
      </c>
      <c r="M16" s="265">
        <f>L16*SUMPRODUCT((TabTur_2K[Jabatan]=__pns_jabatan)*(TabTur_2K[Komponen]='II.K.'!$I16)*(TabTur_2K[Kredit]))</f>
        <v>0</v>
      </c>
    </row>
    <row r="17" spans="9:13" x14ac:dyDescent="0.2">
      <c r="I17" s="251" t="s">
        <v>109</v>
      </c>
      <c r="J17" s="265">
        <f>IF(SUMPRODUCT((Tab2K[Col1]=J$14)*(Tab2K[Col6]=Ya)*(Tab2K[Col2]=$I17)*(Tab2K[Col4]))&gt;SUMPRODUCT((TabTur_2K[Jabatan]=__pns_jabatan)*(TabTur_2K[Komponen]='II.K.'!$I17)*(TabTur_2K[Maksimal])),SUMPRODUCT((TabTur_2K[Jabatan]=__pns_jabatan)*(TabTur_2K[Komponen]='II.K.'!$I17)*(TabTur_2K[Maksimal])),SUMPRODUCT((Tab2K[Col1]=J$14)*(Tab2K[Col6]=Ya)*(Tab2K[Col2]=$I17)*(Tab2K[Col4])))</f>
        <v>0</v>
      </c>
      <c r="K17" s="265">
        <f>J17*SUMPRODUCT((TabTur_2K[Jabatan]=__pns_jabatan)*(TabTur_2K[Komponen]='II.K.'!$I17)*(TabTur_2K[Kredit]))</f>
        <v>0</v>
      </c>
      <c r="L17" s="265">
        <f>IF(SUMPRODUCT((Tab2K[Col1]=L$14)*(Tab2K[Col6]=Ya)*(Tab2K[Col2]=$I17)*(Tab2K[Col4]))&gt;SUMPRODUCT((TabTur_2K[Jabatan]=__pns_jabatan)*(TabTur_2K[Komponen]='II.K.'!$I17)*(TabTur_2K[Maksimal])),SUMPRODUCT((TabTur_2K[Jabatan]=__pns_jabatan)*(TabTur_2K[Komponen]='II.K.'!$I17)*(TabTur_2K[Maksimal])),SUMPRODUCT((Tab2K[Col1]=L$14)*(Tab2K[Col6]=Ya)*(Tab2K[Col2]=$I17)*(Tab2K[Col4])))</f>
        <v>0</v>
      </c>
      <c r="M17" s="265">
        <f>L17*SUMPRODUCT((TabTur_2K[Jabatan]=__pns_jabatan)*(TabTur_2K[Komponen]='II.K.'!$I17)*(TabTur_2K[Kredit]))</f>
        <v>0</v>
      </c>
    </row>
    <row r="19" spans="9:13" x14ac:dyDescent="0.2">
      <c r="I19" s="242" t="s">
        <v>721</v>
      </c>
      <c r="J19" s="241"/>
      <c r="K19" s="242"/>
      <c r="L19" s="242"/>
      <c r="M19" s="242"/>
    </row>
  </sheetData>
  <mergeCells count="7">
    <mergeCell ref="J5:M5"/>
    <mergeCell ref="J8:K8"/>
    <mergeCell ref="L8:M8"/>
    <mergeCell ref="I13:I15"/>
    <mergeCell ref="J13:M13"/>
    <mergeCell ref="J14:K14"/>
    <mergeCell ref="L14:M14"/>
  </mergeCells>
  <dataValidations count="3">
    <dataValidation type="list" allowBlank="1" showInputMessage="1" showErrorMessage="1" sqref="G7:G8" xr:uid="{00000000-0002-0000-1500-000000000000}">
      <formula1>TabutPilihanIsi</formula1>
    </dataValidation>
    <dataValidation type="list" allowBlank="1" showInputMessage="1" showErrorMessage="1" sqref="B7:B8" xr:uid="{00000000-0002-0000-1500-000001000000}">
      <formula1>TabutKalenderIsi</formula1>
    </dataValidation>
    <dataValidation type="list" allowBlank="1" showInputMessage="1" showErrorMessage="1" sqref="I16:I17 C7:C8" xr:uid="{00000000-0002-0000-1500-000002000000}">
      <formula1>TabutPencangkokanIsi</formula1>
    </dataValidation>
  </dataValidations>
  <pageMargins left="0.7" right="0.7" top="0.75" bottom="0.75" header="0.3" footer="0.3"/>
  <pageSetup paperSize="150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M19"/>
  <sheetViews>
    <sheetView workbookViewId="0">
      <selection activeCell="K11" sqref="K11"/>
    </sheetView>
  </sheetViews>
  <sheetFormatPr baseColWidth="10" defaultColWidth="9.1640625" defaultRowHeight="15" x14ac:dyDescent="0.2"/>
  <cols>
    <col min="1" max="1" width="3" style="1" customWidth="1"/>
    <col min="2" max="2" width="12.5" style="1" customWidth="1"/>
    <col min="3" max="3" width="15" style="1" customWidth="1"/>
    <col min="4" max="4" width="36" style="1" customWidth="1"/>
    <col min="5" max="7" width="16.5" style="1" customWidth="1"/>
    <col min="8" max="8" width="2.5" style="1" customWidth="1"/>
    <col min="9" max="9" width="19.1640625" style="1" customWidth="1"/>
    <col min="10" max="16384" width="9.1640625" style="1"/>
  </cols>
  <sheetData>
    <row r="1" spans="2:13" x14ac:dyDescent="0.2">
      <c r="B1" s="26" t="s">
        <v>356</v>
      </c>
      <c r="C1" s="26"/>
      <c r="D1" s="27"/>
      <c r="E1" s="27"/>
      <c r="F1" s="27"/>
      <c r="G1" s="27"/>
    </row>
    <row r="2" spans="2:13" x14ac:dyDescent="0.2">
      <c r="B2" s="25" t="s">
        <v>110</v>
      </c>
      <c r="C2" s="26"/>
      <c r="D2" s="28"/>
      <c r="E2" s="28"/>
      <c r="F2" s="28"/>
      <c r="G2" s="28"/>
    </row>
    <row r="3" spans="2:13" ht="15" customHeight="1" x14ac:dyDescent="0.2">
      <c r="B3" s="315" t="str">
        <f>INDEX(TabRef2[],MATCH($B$2,TabRef2[Column3],0),4)</f>
        <v>Melaksanakan kegiatan detasering dan pencangkokan di luar institusi tempat bekerja setiap semester (bagi dosen Lektor kepala ke atas)</v>
      </c>
      <c r="C3" s="300"/>
      <c r="D3" s="300"/>
      <c r="E3" s="300"/>
      <c r="F3" s="300"/>
      <c r="G3" s="300"/>
    </row>
    <row r="5" spans="2:13" x14ac:dyDescent="0.2">
      <c r="B5" s="55" t="s">
        <v>411</v>
      </c>
      <c r="C5" s="55" t="s">
        <v>378</v>
      </c>
      <c r="D5" s="55" t="s">
        <v>468</v>
      </c>
      <c r="E5" s="55" t="s">
        <v>405</v>
      </c>
      <c r="F5" s="55" t="s">
        <v>12</v>
      </c>
      <c r="G5" s="55" t="s">
        <v>372</v>
      </c>
      <c r="I5" s="243"/>
      <c r="J5" s="554" t="s">
        <v>420</v>
      </c>
      <c r="K5" s="556"/>
      <c r="L5" s="556"/>
      <c r="M5" s="555"/>
    </row>
    <row r="6" spans="2:13" ht="15" hidden="1" customHeight="1" x14ac:dyDescent="0.2">
      <c r="B6" s="50" t="s">
        <v>722</v>
      </c>
      <c r="C6" s="50" t="s">
        <v>723</v>
      </c>
      <c r="D6" s="50" t="s">
        <v>724</v>
      </c>
      <c r="E6" s="50" t="s">
        <v>725</v>
      </c>
      <c r="F6" s="50" t="s">
        <v>726</v>
      </c>
      <c r="G6" s="50" t="s">
        <v>727</v>
      </c>
      <c r="I6" s="244"/>
      <c r="J6" s="273"/>
      <c r="K6" s="273"/>
      <c r="L6" s="273"/>
      <c r="M6" s="273"/>
    </row>
    <row r="7" spans="2:13" hidden="1" x14ac:dyDescent="0.2">
      <c r="B7" s="269"/>
      <c r="C7" s="270"/>
      <c r="D7" s="271"/>
      <c r="E7" s="273">
        <f>IF(AND(ISTEXT(Tab2L[[#This Row],[Col1]]),ISTEXT(Tab2L[[#This Row],[Col3]]),ISTEXT(Tab2L[[#This Row],[Col2]])),1,0)</f>
        <v>0</v>
      </c>
      <c r="F7" s="273">
        <f t="array" ref="F7">IFERROR(Tab2L[[#This Row],[Col4]]*INDEX(TabTur_2L[Kredit],MATCH(1,(__pns_jabatan=TabTur_2L[Jabatan])*(Tab2L[[#This Row],[Col2]]=TabTur_2L[Komponen]),0),1),0)</f>
        <v>0</v>
      </c>
      <c r="G7" s="269"/>
      <c r="I7" s="244"/>
      <c r="J7" s="273"/>
      <c r="K7" s="273"/>
      <c r="L7" s="273"/>
      <c r="M7" s="273"/>
    </row>
    <row r="8" spans="2:13" x14ac:dyDescent="0.2">
      <c r="B8" s="49"/>
      <c r="C8" s="50"/>
      <c r="D8" s="22"/>
      <c r="E8" s="273">
        <f>IF(AND(ISTEXT(Tab2L[[#This Row],[Col1]]),ISTEXT(Tab2L[[#This Row],[Col3]]),ISTEXT(Tab2L[[#This Row],[Col2]])),1,0)</f>
        <v>0</v>
      </c>
      <c r="F8" s="273">
        <f t="array" ref="F8">IFERROR(Tab2L[[#This Row],[Col4]]*INDEX(TabTur_2L[Kredit],MATCH(1,(__pns_jabatan=TabTur_2L[Jabatan])*(Tab2L[[#This Row],[Col2]]=TabTur_2L[Komponen]),0),1),0)</f>
        <v>0</v>
      </c>
      <c r="G8" s="49" t="s">
        <v>370</v>
      </c>
      <c r="I8" s="244"/>
      <c r="J8" s="552" t="s">
        <v>401</v>
      </c>
      <c r="K8" s="552"/>
      <c r="L8" s="552" t="s">
        <v>402</v>
      </c>
      <c r="M8" s="552"/>
    </row>
    <row r="9" spans="2:13" x14ac:dyDescent="0.2">
      <c r="I9" s="245"/>
      <c r="J9" s="273" t="s">
        <v>405</v>
      </c>
      <c r="K9" s="273" t="s">
        <v>12</v>
      </c>
      <c r="L9" s="273" t="s">
        <v>405</v>
      </c>
      <c r="M9" s="273" t="s">
        <v>12</v>
      </c>
    </row>
    <row r="10" spans="2:13" x14ac:dyDescent="0.2">
      <c r="I10" s="273" t="str">
        <f>TabelUtama!H3</f>
        <v>Semester 1</v>
      </c>
      <c r="J10" s="273">
        <f>SUMPRODUCT((Tab2L[Col1]=$I10)*(Tab2L[Col4]))</f>
        <v>0</v>
      </c>
      <c r="K10" s="273">
        <f>SUMPRODUCT((Tab2L[Col1]=$I$10)*(Tab2L[Col5]))</f>
        <v>0</v>
      </c>
      <c r="L10" s="273">
        <f>SUMPRODUCT((Tab2L[Col1]=I10)*(Tab2L[Col6]=Ya)*(Tab2L[Col4]))</f>
        <v>0</v>
      </c>
      <c r="M10" s="273">
        <f>MAX(K16:K17)</f>
        <v>0</v>
      </c>
    </row>
    <row r="11" spans="2:13" x14ac:dyDescent="0.2">
      <c r="I11" s="273" t="str">
        <f>TabelUtama!H4</f>
        <v>Semester 2</v>
      </c>
      <c r="J11" s="273">
        <f>SUMPRODUCT((Tab2L[Col1]=$I11)*(Tab2L[Col4]))</f>
        <v>0</v>
      </c>
      <c r="K11" s="273">
        <f>SUMPRODUCT((Tab2L[Col1]=$I$11)*(Tab2L[Col5]))</f>
        <v>0</v>
      </c>
      <c r="L11" s="273">
        <f>SUMPRODUCT((Tab2L[Col1]=I11)*(Tab2L[Col6]=Ya)*(Tab2L[Col4]))</f>
        <v>0</v>
      </c>
      <c r="M11" s="273">
        <f>MAX(M16:M17)</f>
        <v>0</v>
      </c>
    </row>
    <row r="13" spans="2:13" x14ac:dyDescent="0.2">
      <c r="I13" s="557"/>
      <c r="J13" s="552" t="s">
        <v>422</v>
      </c>
      <c r="K13" s="552"/>
      <c r="L13" s="552"/>
      <c r="M13" s="552"/>
    </row>
    <row r="14" spans="2:13" x14ac:dyDescent="0.2">
      <c r="I14" s="558"/>
      <c r="J14" s="552" t="str">
        <f>I10</f>
        <v>Semester 1</v>
      </c>
      <c r="K14" s="552"/>
      <c r="L14" s="552" t="str">
        <f>I11</f>
        <v>Semester 2</v>
      </c>
      <c r="M14" s="552"/>
    </row>
    <row r="15" spans="2:13" x14ac:dyDescent="0.2">
      <c r="I15" s="559"/>
      <c r="J15" s="273" t="s">
        <v>421</v>
      </c>
      <c r="K15" s="273" t="s">
        <v>407</v>
      </c>
      <c r="L15" s="273" t="s">
        <v>421</v>
      </c>
      <c r="M15" s="273" t="s">
        <v>407</v>
      </c>
    </row>
    <row r="16" spans="2:13" x14ac:dyDescent="0.2">
      <c r="I16" s="251" t="s">
        <v>111</v>
      </c>
      <c r="J16" s="273">
        <f>IF(SUMPRODUCT((Tab2L[Col1]=J$14)*(Tab2L[Col6]=Ya)*(Tab2L[Col2]=$I16)*(Tab2L[Col4]))&gt;SUMPRODUCT((TabTur_2L[Jabatan]=__pns_jabatan)*(TabTur_2L[Komponen]='II.L.'!$I16)*(TabTur_2L[Maksimal])),SUMPRODUCT((TabTur_2L[Jabatan]=__pns_jabatan)*(TabTur_2L[Komponen]='II.L.'!$I16)*(TabTur_2L[Maksimal])),SUMPRODUCT((Tab2L[Col1]=J$14)*(Tab2L[Col6]=Ya)*(Tab2L[Col2]=$I16)*(Tab2L[Col4])))</f>
        <v>0</v>
      </c>
      <c r="K16" s="273">
        <f>J16*SUMPRODUCT((TabTur_2L[Jabatan]=__pns_jabatan)*(TabTur_2L[Komponen]='II.L.'!$I16)*(TabTur_2L[Kredit]))</f>
        <v>0</v>
      </c>
      <c r="L16" s="273">
        <f>IF(SUMPRODUCT((Tab2L[Col1]=L$14)*(Tab2L[Col6]=Ya)*(Tab2L[Col2]=$I16)*(Tab2L[Col4]))&gt;SUMPRODUCT((TabTur_2L[Jabatan]=__pns_jabatan)*(TabTur_2L[Komponen]='II.L.'!$I16)*(TabTur_2L[Maksimal])),SUMPRODUCT((TabTur_2L[Jabatan]=__pns_jabatan)*(TabTur_2L[Komponen]='II.L.'!$I16)*(TabTur_2L[Maksimal])),SUMPRODUCT((Tab2L[Col1]=L$14)*(Tab2L[Col6]=Ya)*(Tab2L[Col2]=$I16)*(Tab2L[Col4])))</f>
        <v>0</v>
      </c>
      <c r="M16" s="273">
        <f>L16*SUMPRODUCT((TabTur_2L[Jabatan]=__pns_jabatan)*(TabTur_2L[Komponen]='II.L.'!$I16)*(TabTur_2L[Kredit]))</f>
        <v>0</v>
      </c>
    </row>
    <row r="17" spans="9:13" x14ac:dyDescent="0.2">
      <c r="I17" s="251" t="s">
        <v>112</v>
      </c>
      <c r="J17" s="273">
        <f>IF(SUMPRODUCT((Tab2L[Col1]=J$14)*(Tab2L[Col6]=Ya)*(Tab2L[Col2]=$I17)*(Tab2L[Col4]))&gt;SUMPRODUCT((TabTur_2L[Jabatan]=__pns_jabatan)*(TabTur_2L[Komponen]='II.L.'!$I17)*(TabTur_2L[Maksimal])),SUMPRODUCT((TabTur_2L[Jabatan]=__pns_jabatan)*(TabTur_2L[Komponen]='II.L.'!$I17)*(TabTur_2L[Maksimal])),SUMPRODUCT((Tab2L[Col1]=J$14)*(Tab2L[Col6]=Ya)*(Tab2L[Col2]=$I17)*(Tab2L[Col4])))</f>
        <v>0</v>
      </c>
      <c r="K17" s="273">
        <f>J17*SUMPRODUCT((TabTur_2L[Jabatan]=__pns_jabatan)*(TabTur_2L[Komponen]='II.L.'!$I17)*(TabTur_2L[Kredit]))</f>
        <v>0</v>
      </c>
      <c r="L17" s="273">
        <f>IF(SUMPRODUCT((Tab2L[Col1]=L$14)*(Tab2L[Col6]=Ya)*(Tab2L[Col2]=$I17)*(Tab2L[Col4]))&gt;SUMPRODUCT((TabTur_2L[Jabatan]=__pns_jabatan)*(TabTur_2L[Komponen]='II.L.'!$I17)*(TabTur_2L[Maksimal])),SUMPRODUCT((TabTur_2L[Jabatan]=__pns_jabatan)*(TabTur_2L[Komponen]='II.L.'!$I17)*(TabTur_2L[Maksimal])),SUMPRODUCT((Tab2L[Col1]=L$14)*(Tab2L[Col6]=Ya)*(Tab2L[Col2]=$I17)*(Tab2L[Col4])))</f>
        <v>0</v>
      </c>
      <c r="M17" s="273">
        <f>L17*SUMPRODUCT((TabTur_2L[Jabatan]=__pns_jabatan)*(TabTur_2L[Komponen]='II.L.'!$I17)*(TabTur_2L[Kredit]))</f>
        <v>0</v>
      </c>
    </row>
    <row r="19" spans="9:13" x14ac:dyDescent="0.2">
      <c r="I19" s="242" t="s">
        <v>721</v>
      </c>
      <c r="J19" s="241"/>
      <c r="K19" s="242"/>
      <c r="L19" s="242"/>
      <c r="M19" s="242"/>
    </row>
  </sheetData>
  <mergeCells count="7">
    <mergeCell ref="J5:M5"/>
    <mergeCell ref="J8:K8"/>
    <mergeCell ref="L8:M8"/>
    <mergeCell ref="I13:I15"/>
    <mergeCell ref="J13:M13"/>
    <mergeCell ref="J14:K14"/>
    <mergeCell ref="L14:M14"/>
  </mergeCells>
  <dataValidations count="3">
    <dataValidation type="list" allowBlank="1" showInputMessage="1" showErrorMessage="1" sqref="I16:I17 C7:C8" xr:uid="{00000000-0002-0000-1600-000000000000}">
      <formula1>TabutDetaseringIsi</formula1>
    </dataValidation>
    <dataValidation type="list" allowBlank="1" showInputMessage="1" showErrorMessage="1" sqref="B7:B8" xr:uid="{00000000-0002-0000-1600-000001000000}">
      <formula1>TabutKalenderIsi</formula1>
    </dataValidation>
    <dataValidation type="list" allowBlank="1" showInputMessage="1" showErrorMessage="1" sqref="G7:G8" xr:uid="{00000000-0002-0000-1600-000002000000}">
      <formula1>TabutPilihanIsi</formula1>
    </dataValidation>
  </dataValidations>
  <pageMargins left="0.7" right="0.7" top="0.75" bottom="0.75" header="0.3" footer="0.3"/>
  <pageSetup paperSize="150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M13"/>
  <sheetViews>
    <sheetView workbookViewId="0">
      <selection activeCell="K10" sqref="K10"/>
    </sheetView>
  </sheetViews>
  <sheetFormatPr baseColWidth="10" defaultColWidth="9.1640625" defaultRowHeight="15" x14ac:dyDescent="0.2"/>
  <cols>
    <col min="1" max="1" width="1.6640625" style="1" customWidth="1"/>
    <col min="2" max="2" width="12.5" style="1" customWidth="1"/>
    <col min="3" max="3" width="41.5" style="1" customWidth="1"/>
    <col min="4" max="4" width="13.83203125" style="1" customWidth="1"/>
    <col min="5" max="7" width="16.5" style="1" customWidth="1"/>
    <col min="8" max="8" width="2.5" style="1" customWidth="1"/>
    <col min="9" max="9" width="19.1640625" style="1" customWidth="1"/>
    <col min="10" max="16384" width="9.1640625" style="1"/>
  </cols>
  <sheetData>
    <row r="1" spans="2:13" x14ac:dyDescent="0.2">
      <c r="B1" s="26" t="s">
        <v>356</v>
      </c>
      <c r="C1" s="26"/>
      <c r="D1" s="27"/>
      <c r="E1" s="27"/>
      <c r="F1" s="27"/>
      <c r="G1" s="27"/>
    </row>
    <row r="2" spans="2:13" x14ac:dyDescent="0.2">
      <c r="B2" s="25" t="s">
        <v>113</v>
      </c>
      <c r="C2" s="26"/>
      <c r="D2" s="28"/>
      <c r="E2" s="28"/>
      <c r="F2" s="28"/>
      <c r="G2" s="28"/>
    </row>
    <row r="3" spans="2:13" ht="15" customHeight="1" x14ac:dyDescent="0.2">
      <c r="B3" s="315" t="str">
        <f>INDEX(TabRef2[],MATCH($B$2,TabRef2[Column3],0),4)</f>
        <v>Melaksanakan pengembangan diri untuk meningkatkan kompetensi</v>
      </c>
      <c r="C3" s="300"/>
      <c r="D3" s="300"/>
      <c r="E3" s="300"/>
      <c r="F3" s="300"/>
      <c r="G3" s="300"/>
    </row>
    <row r="5" spans="2:13" x14ac:dyDescent="0.2">
      <c r="B5" s="56" t="s">
        <v>411</v>
      </c>
      <c r="C5" s="56" t="s">
        <v>468</v>
      </c>
      <c r="D5" s="56" t="s">
        <v>469</v>
      </c>
      <c r="E5" s="56" t="s">
        <v>405</v>
      </c>
      <c r="F5" s="56" t="s">
        <v>12</v>
      </c>
      <c r="G5" s="56" t="s">
        <v>372</v>
      </c>
      <c r="I5" s="243"/>
      <c r="J5" s="554" t="s">
        <v>420</v>
      </c>
      <c r="K5" s="556"/>
      <c r="L5" s="556"/>
      <c r="M5" s="555"/>
    </row>
    <row r="6" spans="2:13" ht="15" hidden="1" customHeight="1" x14ac:dyDescent="0.2">
      <c r="B6" s="50" t="s">
        <v>722</v>
      </c>
      <c r="C6" s="50" t="s">
        <v>723</v>
      </c>
      <c r="D6" s="50" t="s">
        <v>724</v>
      </c>
      <c r="E6" s="50" t="s">
        <v>725</v>
      </c>
      <c r="F6" s="50" t="s">
        <v>726</v>
      </c>
      <c r="G6" s="50" t="s">
        <v>727</v>
      </c>
      <c r="I6" s="244"/>
      <c r="J6" s="273"/>
      <c r="K6" s="273"/>
      <c r="L6" s="273"/>
      <c r="M6" s="273"/>
    </row>
    <row r="7" spans="2:13" hidden="1" x14ac:dyDescent="0.2">
      <c r="B7" s="269"/>
      <c r="C7" s="270"/>
      <c r="D7" s="271"/>
      <c r="E7" s="273">
        <f>IF(AND(ISTEXT(Tab2M[[#This Row],[Col1]]),ISNUMBER(Tab2M[[#This Row],[Col3]]),ISTEXT(Tab2M[[#This Row],[Col2]])),1,0)</f>
        <v>0</v>
      </c>
      <c r="F7" s="273">
        <f>IFERROR(Tab2M[[#This Row],[Col4]]*VLOOKUP(Tab2M[[#This Row],[Col3]],TabTur_2M[],2,TRUE),0)</f>
        <v>0</v>
      </c>
      <c r="G7" s="269"/>
      <c r="I7" s="244"/>
      <c r="J7" s="273"/>
      <c r="K7" s="273"/>
      <c r="L7" s="273"/>
      <c r="M7" s="273"/>
    </row>
    <row r="8" spans="2:13" x14ac:dyDescent="0.2">
      <c r="B8" s="49"/>
      <c r="C8" s="50"/>
      <c r="D8" s="22"/>
      <c r="E8" s="273">
        <f>IF(AND(ISTEXT(Tab2M[[#This Row],[Col1]]),ISNUMBER(Tab2M[[#This Row],[Col3]]),ISTEXT(Tab2M[[#This Row],[Col2]])),1,0)</f>
        <v>0</v>
      </c>
      <c r="F8" s="273">
        <f>IFERROR(Tab2M[[#This Row],[Col4]]*VLOOKUP(Tab2M[[#This Row],[Col3]],TabTur_2M[],2,TRUE),0)</f>
        <v>0</v>
      </c>
      <c r="G8" s="49" t="s">
        <v>370</v>
      </c>
      <c r="I8" s="244"/>
      <c r="J8" s="552" t="s">
        <v>401</v>
      </c>
      <c r="K8" s="552"/>
      <c r="L8" s="552" t="s">
        <v>402</v>
      </c>
      <c r="M8" s="552"/>
    </row>
    <row r="9" spans="2:13" x14ac:dyDescent="0.2">
      <c r="I9" s="245"/>
      <c r="J9" s="273" t="s">
        <v>405</v>
      </c>
      <c r="K9" s="273" t="s">
        <v>12</v>
      </c>
      <c r="L9" s="273" t="s">
        <v>405</v>
      </c>
      <c r="M9" s="273" t="s">
        <v>12</v>
      </c>
    </row>
    <row r="10" spans="2:13" x14ac:dyDescent="0.2">
      <c r="I10" s="273" t="str">
        <f>TabelUtama!H3</f>
        <v>Semester 1</v>
      </c>
      <c r="J10" s="273">
        <f>SUMPRODUCT((Tab2M[Col1]=$I10)*(Tab2M[Col4]))</f>
        <v>0</v>
      </c>
      <c r="K10" s="273">
        <f>SUMPRODUCT((Tab2M[Col1]=$I10)*(Tab2M[Col5]))</f>
        <v>0</v>
      </c>
      <c r="L10" s="273">
        <f>SUMPRODUCT((Tab2M[Col1]=I10)*(Tab2M[Col6]=Ya)*(Tab2M[Col4]))</f>
        <v>0</v>
      </c>
      <c r="M10" s="273">
        <f>SUMPRODUCT((Tab2M[Col1]=$I10)*(Tab2M[Col6]=Ya)*(Tab2M[Col5]))</f>
        <v>0</v>
      </c>
    </row>
    <row r="11" spans="2:13" x14ac:dyDescent="0.2">
      <c r="I11" s="273" t="str">
        <f>TabelUtama!H4</f>
        <v>Semester 2</v>
      </c>
      <c r="J11" s="273">
        <f>SUMPRODUCT((Tab2M[Col1]=$I11)*(Tab2M[Col4]))</f>
        <v>0</v>
      </c>
      <c r="K11" s="273">
        <f>SUMPRODUCT((Tab2M[Col1]=$I11)*(Tab2M[Col5]))</f>
        <v>0</v>
      </c>
      <c r="L11" s="273">
        <f>SUMPRODUCT((Tab2M[Col1]=I11)*(Tab2M[Col6]=Ya)*(Tab2M[Col4]))</f>
        <v>0</v>
      </c>
      <c r="M11" s="273">
        <f>SUMPRODUCT((Tab2M[Col1]=$I11)*(Tab2M[Col6]=Ya)*(Tab2M[Col5]))</f>
        <v>0</v>
      </c>
    </row>
    <row r="13" spans="2:13" x14ac:dyDescent="0.2">
      <c r="I13" s="242" t="s">
        <v>721</v>
      </c>
      <c r="J13" s="241"/>
      <c r="K13" s="242"/>
      <c r="L13" s="242"/>
      <c r="M13" s="242"/>
    </row>
  </sheetData>
  <mergeCells count="3">
    <mergeCell ref="J8:K8"/>
    <mergeCell ref="L8:M8"/>
    <mergeCell ref="J5:M5"/>
  </mergeCells>
  <dataValidations count="2">
    <dataValidation type="list" allowBlank="1" showInputMessage="1" showErrorMessage="1" sqref="G7:G8" xr:uid="{00000000-0002-0000-1700-000000000000}">
      <formula1>TabutPilihanIsi</formula1>
    </dataValidation>
    <dataValidation type="list" allowBlank="1" showInputMessage="1" showErrorMessage="1" sqref="B7:B8" xr:uid="{00000000-0002-0000-1700-000001000000}">
      <formula1>TabutKalenderIsi</formula1>
    </dataValidation>
  </dataValidations>
  <pageMargins left="0.7" right="0.7" top="0.75" bottom="0.75" header="0.3" footer="0.3"/>
  <pageSetup paperSize="150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0"/>
  <sheetViews>
    <sheetView workbookViewId="0">
      <selection activeCell="E22" sqref="E22"/>
    </sheetView>
  </sheetViews>
  <sheetFormatPr baseColWidth="10" defaultColWidth="9.1640625" defaultRowHeight="15" x14ac:dyDescent="0.2"/>
  <cols>
    <col min="1" max="1" width="5.33203125" style="1" customWidth="1"/>
    <col min="2" max="2" width="11.6640625" style="1" customWidth="1"/>
    <col min="3" max="3" width="45.6640625" style="1" customWidth="1"/>
    <col min="4" max="4" width="7.5" style="1" hidden="1" customWidth="1"/>
    <col min="5" max="5" width="45.6640625" style="1" customWidth="1"/>
    <col min="6" max="6" width="9.83203125" style="1" hidden="1" customWidth="1"/>
    <col min="7" max="7" width="35.6640625" style="1" customWidth="1"/>
    <col min="8" max="10" width="11" style="1" customWidth="1"/>
    <col min="11" max="16384" width="9.1640625" style="1"/>
  </cols>
  <sheetData>
    <row r="1" spans="1:11" x14ac:dyDescent="0.2">
      <c r="A1" s="286" t="s">
        <v>121</v>
      </c>
      <c r="B1" s="26" t="s">
        <v>356</v>
      </c>
      <c r="C1" s="26"/>
      <c r="D1" s="27"/>
      <c r="E1" s="27"/>
      <c r="F1" s="27"/>
      <c r="G1" s="27"/>
    </row>
    <row r="2" spans="1:11" x14ac:dyDescent="0.2">
      <c r="B2" s="25" t="s">
        <v>121</v>
      </c>
      <c r="C2" s="26"/>
      <c r="D2" s="28"/>
      <c r="E2" s="28"/>
      <c r="F2" s="28"/>
      <c r="G2" s="28"/>
    </row>
    <row r="3" spans="1:11" ht="15" customHeight="1" x14ac:dyDescent="0.2">
      <c r="B3" s="315" t="str">
        <f>INDEX(TabRef2[],MATCH($B$2,TabRef2[Column3],0),4)</f>
        <v>Menghasilkan karya ilmiah sesuai dengan bidang ilmunya</v>
      </c>
      <c r="C3" s="300"/>
      <c r="D3" s="300"/>
      <c r="E3" s="300"/>
      <c r="F3" s="300"/>
      <c r="G3" s="300"/>
    </row>
    <row r="5" spans="1:11" x14ac:dyDescent="0.2">
      <c r="B5" s="63" t="s">
        <v>411</v>
      </c>
      <c r="C5" s="63" t="s">
        <v>359</v>
      </c>
      <c r="D5" s="63" t="s">
        <v>530</v>
      </c>
      <c r="E5" s="63" t="s">
        <v>532</v>
      </c>
      <c r="F5" s="63"/>
      <c r="G5" s="63" t="s">
        <v>531</v>
      </c>
      <c r="H5" s="63" t="s">
        <v>405</v>
      </c>
      <c r="I5" s="63" t="s">
        <v>12</v>
      </c>
      <c r="J5" s="63" t="s">
        <v>372</v>
      </c>
      <c r="K5" s="63" t="s">
        <v>536</v>
      </c>
    </row>
    <row r="6" spans="1:11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  <c r="J6" s="59" t="s">
        <v>730</v>
      </c>
      <c r="K6" s="59" t="s">
        <v>731</v>
      </c>
    </row>
    <row r="7" spans="1:11" hidden="1" x14ac:dyDescent="0.2">
      <c r="B7" s="291"/>
      <c r="C7" s="292"/>
      <c r="D7" s="288"/>
      <c r="E7" s="292"/>
      <c r="F7" s="288"/>
      <c r="G7" s="287"/>
      <c r="H7" s="289">
        <f>IF(AND(ISTEXT(Tab3A[[#This Row],[Col1]]),ISTEXT(Tab3A[[#This Row],[Col2]]),ISTEXT(Tab3A[[#This Row],[Col4]]),ISTEXT(Tab3A[[#This Row],[Col6]])),1,0)</f>
        <v>0</v>
      </c>
      <c r="I7" s="289">
        <f>IFERROR(Tab3A[[#This Row],[Col7]]*VLOOKUP(Tab3A[[#This Row],[Col5]],TabTur3Sub[[Column3]:[Column5]],3,FALSE),0)</f>
        <v>0</v>
      </c>
      <c r="J7" s="293"/>
      <c r="K7" s="294"/>
    </row>
    <row r="8" spans="1:11" ht="16" x14ac:dyDescent="0.2">
      <c r="B8" s="81" t="s">
        <v>362</v>
      </c>
      <c r="C8" s="82" t="s">
        <v>124</v>
      </c>
      <c r="D8" s="288" t="str">
        <f t="array" ref="D8">INDEX(TabTur3[Column3],MATCH('III.A.'!C8,TabTur3[Column4],0),1)</f>
        <v>III.A.3.</v>
      </c>
      <c r="E8" s="82" t="s">
        <v>773</v>
      </c>
      <c r="F8" s="288" t="str">
        <f t="array" ref="F8">INDEX(TabTur3Sub[Column3],MATCH(1,('III.A.'!D8=TabTur3Sub[Column1])*('III.A.'!E8=TabTur3Sub[Column4]),0),1)</f>
        <v>III.A.3.e2.</v>
      </c>
      <c r="G8" s="83" t="s">
        <v>898</v>
      </c>
      <c r="H8" s="289">
        <f>IF(AND(ISTEXT(Tab3A[[#This Row],[Col1]]),ISTEXT(Tab3A[[#This Row],[Col2]]),ISTEXT(Tab3A[[#This Row],[Col4]]),ISTEXT(Tab3A[[#This Row],[Col6]])),1,0)</f>
        <v>1</v>
      </c>
      <c r="I8" s="290">
        <f>IFERROR(Tab3A[[#This Row],[Col7]]*VLOOKUP(Tab3A[[#This Row],[Col5]],TabTur3Sub[[Column3]:[Column5]],3,FALSE),0)</f>
        <v>20</v>
      </c>
      <c r="J8" s="85" t="s">
        <v>370</v>
      </c>
      <c r="K8" s="86"/>
    </row>
    <row r="9" spans="1:11" ht="16" x14ac:dyDescent="0.2">
      <c r="B9" s="363" t="s">
        <v>362</v>
      </c>
      <c r="C9" s="82" t="s">
        <v>124</v>
      </c>
      <c r="D9" s="438" t="str" cm="1">
        <f t="array" ref="D9">INDEX(TabTur3[Column3],MATCH('III.A.'!C9,TabTur3[Column4],0),1)</f>
        <v>III.A.3.</v>
      </c>
      <c r="E9" s="82" t="s">
        <v>268</v>
      </c>
      <c r="F9" s="439" t="str" cm="1">
        <f t="array" ref="F9">INDEX(TabTur3Sub[Column3],MATCH(1,('III.A.'!D9=TabTur3Sub[Column1])*('III.A.'!E9=TabTur3Sub[Column4]),0),1)</f>
        <v>III.A.3.f.</v>
      </c>
      <c r="G9" s="83" t="s">
        <v>899</v>
      </c>
      <c r="H9" s="440">
        <f>IF(AND(ISTEXT(Tab3A[[#This Row],[Col1]]),ISTEXT(Tab3A[[#This Row],[Col2]]),ISTEXT(Tab3A[[#This Row],[Col4]]),ISTEXT(Tab3A[[#This Row],[Col6]])),1,0)</f>
        <v>1</v>
      </c>
      <c r="I9" s="440">
        <f>IFERROR(Tab3A[[#This Row],[Col7]]*VLOOKUP(Tab3A[[#This Row],[Col5]],TabTur3Sub[[Column3]:[Column5]],3,FALSE),0)</f>
        <v>10</v>
      </c>
      <c r="J9" s="85" t="s">
        <v>370</v>
      </c>
      <c r="K9" s="86"/>
    </row>
    <row r="10" spans="1:11" x14ac:dyDescent="0.2">
      <c r="B10" s="363"/>
      <c r="C10" s="82"/>
      <c r="D10" s="438" t="e" cm="1">
        <f t="array" ref="D10">INDEX(TabTur3[Column3],MATCH('III.A.'!C10,TabTur3[Column4],0),1)</f>
        <v>#N/A</v>
      </c>
      <c r="E10" s="82"/>
      <c r="F10" s="439" t="e" cm="1">
        <f t="array" ref="F10">INDEX(TabTur3Sub[Column3],MATCH(1,('III.A.'!D10=TabTur3Sub[Column1])*('III.A.'!E10=TabTur3Sub[Column4]),0),1)</f>
        <v>#N/A</v>
      </c>
      <c r="G10" s="83"/>
      <c r="H10" s="440">
        <f>IF(AND(ISTEXT(Tab3A[[#This Row],[Col1]]),ISTEXT(Tab3A[[#This Row],[Col2]]),ISTEXT(Tab3A[[#This Row],[Col4]]),ISTEXT(Tab3A[[#This Row],[Col6]])),1,0)</f>
        <v>0</v>
      </c>
      <c r="I10" s="440">
        <f>IFERROR(Tab3A[[#This Row],[Col7]]*VLOOKUP(Tab3A[[#This Row],[Col5]],TabTur3Sub[[Column3]:[Column5]],3,FALSE),0)</f>
        <v>0</v>
      </c>
      <c r="J10" s="85"/>
      <c r="K10" s="86"/>
    </row>
    <row r="11" spans="1:11" x14ac:dyDescent="0.2">
      <c r="B11" s="84" t="s">
        <v>533</v>
      </c>
    </row>
    <row r="13" spans="1:11" x14ac:dyDescent="0.2">
      <c r="G13" s="552"/>
      <c r="H13" s="552" t="s">
        <v>535</v>
      </c>
      <c r="I13" s="552"/>
      <c r="J13" s="552"/>
      <c r="K13" s="552"/>
    </row>
    <row r="14" spans="1:11" x14ac:dyDescent="0.2">
      <c r="G14" s="552"/>
      <c r="H14" s="552" t="s">
        <v>401</v>
      </c>
      <c r="I14" s="552"/>
      <c r="J14" s="552" t="s">
        <v>402</v>
      </c>
      <c r="K14" s="552"/>
    </row>
    <row r="15" spans="1:11" x14ac:dyDescent="0.2">
      <c r="G15" s="552"/>
      <c r="H15" s="273" t="s">
        <v>405</v>
      </c>
      <c r="I15" s="273" t="s">
        <v>12</v>
      </c>
      <c r="J15" s="273" t="s">
        <v>405</v>
      </c>
      <c r="K15" s="273" t="s">
        <v>12</v>
      </c>
    </row>
    <row r="16" spans="1:11" x14ac:dyDescent="0.2">
      <c r="G16" s="298" t="str">
        <f>TabelUtama!H3</f>
        <v>Semester 1</v>
      </c>
      <c r="H16" s="273">
        <f>SUMPRODUCT((Tab3A[Col1]=$G16)*(Tab3A[Col7]))</f>
        <v>0</v>
      </c>
      <c r="I16" s="273">
        <f>SUMPRODUCT((Tab3A[Col1]=$G16)*(Tab3A[Col8]))</f>
        <v>0</v>
      </c>
      <c r="J16" s="273">
        <f>SUMPRODUCT((Tab3A[Col1]=$G16)*(Tab3A[Col9]=Ya)*(Tab3A[Col7]))</f>
        <v>0</v>
      </c>
      <c r="K16" s="273">
        <f>SUMPRODUCT((Tab3A[Col1]=$G16)*(Tab3A[Col9]=Ya)*(Tab3A[Col8]))</f>
        <v>0</v>
      </c>
    </row>
    <row r="17" spans="7:11" x14ac:dyDescent="0.2">
      <c r="G17" s="298" t="str">
        <f>TabelUtama!H4</f>
        <v>Semester 2</v>
      </c>
      <c r="H17" s="273">
        <f>SUMPRODUCT((Tab3A[Col1]=$G17)*(Tab3A[Col7]))</f>
        <v>2</v>
      </c>
      <c r="I17" s="273">
        <f>SUMPRODUCT((Tab3A[Col1]=$G17)*(Tab3A[Col8]))</f>
        <v>30</v>
      </c>
      <c r="J17" s="273">
        <f>SUMPRODUCT((Tab3A[Col1]=$G17)*(Tab3A[Col9]=Ya)*(Tab3A[Col7]))</f>
        <v>2</v>
      </c>
      <c r="K17" s="273">
        <f>SUMPRODUCT((Tab3A[Col1]=$G17)*(Tab3A[Col9]=Ya)*(Tab3A[Col8]))</f>
        <v>30</v>
      </c>
    </row>
    <row r="18" spans="7:11" x14ac:dyDescent="0.2">
      <c r="G18" s="298" t="str">
        <f>TabelUtama!H5</f>
        <v>1 Tahun</v>
      </c>
      <c r="H18" s="273">
        <f>SUMPRODUCT((Tab3A[Col1]=$G18)*(Tab3A[Col7]))</f>
        <v>0</v>
      </c>
      <c r="I18" s="273">
        <f>SUMPRODUCT((Tab3A[Col1]=$G18)*(Tab3A[Col8]))</f>
        <v>0</v>
      </c>
      <c r="J18" s="273">
        <f>SUMPRODUCT((Tab3A[Col1]=$G18)*(Tab3A[Col9]=Ya)*(Tab3A[Col7]))</f>
        <v>0</v>
      </c>
      <c r="K18" s="273">
        <f>SUMPRODUCT((Tab3A[Col1]=$G18)*(Tab3A[Col9]=Ya)*(Tab3A[Col8]))</f>
        <v>0</v>
      </c>
    </row>
    <row r="20" spans="7:11" x14ac:dyDescent="0.2">
      <c r="G20" s="242" t="s">
        <v>721</v>
      </c>
      <c r="H20" s="241"/>
      <c r="I20" s="242"/>
      <c r="J20" s="242"/>
      <c r="K20" s="242"/>
    </row>
  </sheetData>
  <mergeCells count="4">
    <mergeCell ref="H14:I14"/>
    <mergeCell ref="J14:K14"/>
    <mergeCell ref="G13:G15"/>
    <mergeCell ref="H13:K13"/>
  </mergeCells>
  <dataValidations count="4">
    <dataValidation type="list" allowBlank="1" showInputMessage="1" showErrorMessage="1" sqref="C7:C10" xr:uid="{00000000-0002-0000-1800-000000000000}">
      <formula1>_3_isi</formula1>
    </dataValidation>
    <dataValidation type="list" allowBlank="1" showInputMessage="1" showErrorMessage="1" sqref="E7:E10" xr:uid="{00000000-0002-0000-1800-000001000000}">
      <formula1>_3Sub_isi</formula1>
    </dataValidation>
    <dataValidation type="list" allowBlank="1" showInputMessage="1" showErrorMessage="1" sqref="B7:B10" xr:uid="{00000000-0002-0000-1800-000002000000}">
      <formula1>TabutKalenderIsi</formula1>
    </dataValidation>
    <dataValidation type="list" allowBlank="1" showInputMessage="1" showErrorMessage="1" sqref="J7:J10" xr:uid="{00000000-0002-0000-1800-000003000000}">
      <formula1>TabutPilihanIsi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8"/>
  <sheetViews>
    <sheetView topLeftCell="B1" workbookViewId="0">
      <selection activeCell="E14" sqref="E14"/>
    </sheetView>
  </sheetViews>
  <sheetFormatPr baseColWidth="10" defaultColWidth="9.1640625" defaultRowHeight="15" x14ac:dyDescent="0.2"/>
  <cols>
    <col min="1" max="1" width="5" style="1" bestFit="1" customWidth="1"/>
    <col min="2" max="2" width="11.6640625" style="1" customWidth="1"/>
    <col min="3" max="3" width="45.6640625" style="1" customWidth="1"/>
    <col min="4" max="4" width="7.5" style="1" hidden="1" customWidth="1"/>
    <col min="5" max="5" width="45.6640625" style="1" customWidth="1"/>
    <col min="6" max="6" width="9.83203125" style="1" hidden="1" customWidth="1"/>
    <col min="7" max="7" width="35.6640625" style="1" customWidth="1"/>
    <col min="8" max="10" width="11" style="1" customWidth="1"/>
    <col min="11" max="16384" width="9.1640625" style="1"/>
  </cols>
  <sheetData>
    <row r="1" spans="1:11" x14ac:dyDescent="0.2">
      <c r="A1" s="299" t="s">
        <v>125</v>
      </c>
      <c r="B1" s="26" t="s">
        <v>356</v>
      </c>
      <c r="C1" s="26"/>
      <c r="D1" s="27"/>
      <c r="E1" s="27"/>
      <c r="F1" s="27"/>
      <c r="G1" s="27"/>
    </row>
    <row r="2" spans="1:11" x14ac:dyDescent="0.2">
      <c r="B2" s="25" t="s">
        <v>125</v>
      </c>
      <c r="C2" s="26"/>
      <c r="D2" s="28"/>
      <c r="E2" s="28"/>
      <c r="F2" s="28"/>
      <c r="G2" s="28"/>
    </row>
    <row r="3" spans="1:11" ht="15" customHeight="1" x14ac:dyDescent="0.2">
      <c r="B3" s="315" t="str">
        <f>INDEX(TabRef2[],MATCH($B$2,TabRef2[Column3],0),4)</f>
        <v>Hasil penelitian atau hasil pemikiran yang didesiminasikan</v>
      </c>
      <c r="C3" s="300"/>
      <c r="D3" s="300"/>
      <c r="E3" s="300"/>
      <c r="F3" s="300"/>
      <c r="G3" s="300"/>
    </row>
    <row r="5" spans="1:11" x14ac:dyDescent="0.2">
      <c r="B5" s="63" t="s">
        <v>411</v>
      </c>
      <c r="C5" s="63" t="s">
        <v>359</v>
      </c>
      <c r="D5" s="63" t="s">
        <v>530</v>
      </c>
      <c r="E5" s="63" t="s">
        <v>532</v>
      </c>
      <c r="F5" s="63"/>
      <c r="G5" s="63" t="s">
        <v>531</v>
      </c>
      <c r="H5" s="63" t="s">
        <v>405</v>
      </c>
      <c r="I5" s="63" t="s">
        <v>12</v>
      </c>
      <c r="J5" s="63" t="s">
        <v>372</v>
      </c>
      <c r="K5" s="63" t="s">
        <v>536</v>
      </c>
    </row>
    <row r="6" spans="1:11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  <c r="J6" s="59" t="s">
        <v>730</v>
      </c>
      <c r="K6" s="59" t="s">
        <v>731</v>
      </c>
    </row>
    <row r="7" spans="1:11" ht="32" hidden="1" x14ac:dyDescent="0.2">
      <c r="B7" s="291"/>
      <c r="C7" s="292" t="s">
        <v>127</v>
      </c>
      <c r="D7" s="288" t="str">
        <f>INDEX(TabTur3[Column3],MATCH('III.B.'!C7,TabTur3[Column4],0),1)</f>
        <v>III.B.2.</v>
      </c>
      <c r="E7" s="292" t="s">
        <v>257</v>
      </c>
      <c r="F7" s="288" t="str">
        <f t="array" ref="F7">INDEX(TabTur3Sub[Column3],MATCH(1,('III.B.'!D7=TabTur3Sub[Column1])*('III.B.'!E7=TabTur3Sub[Column4]),0),1)</f>
        <v>III.B.2.a.</v>
      </c>
      <c r="G7" s="287"/>
      <c r="H7" s="289">
        <f>IF(AND(ISTEXT(Tab3B[[#This Row],[Col1]]),ISTEXT(Tab3B[[#This Row],[Col2]]),ISTEXT(Tab3B[[#This Row],[Col4]]),ISTEXT(Tab3B[[#This Row],[Col6]])),1,0)</f>
        <v>0</v>
      </c>
      <c r="I7" s="289">
        <f>IFERROR(Tab3B[[#This Row],[Col7]]*VLOOKUP(Tab3B[[#This Row],[Col5]],TabTur3Sub[[Column3]:[Column5]],3,FALSE),0)</f>
        <v>0</v>
      </c>
      <c r="J7" s="293"/>
      <c r="K7" s="294"/>
    </row>
    <row r="8" spans="1:11" x14ac:dyDescent="0.2">
      <c r="B8" s="81"/>
      <c r="C8" s="82"/>
      <c r="D8" s="288" t="e">
        <f>INDEX(TabTur3[Column3],MATCH('III.B.'!C8,TabTur3[Column4],0),1)</f>
        <v>#N/A</v>
      </c>
      <c r="E8" s="82"/>
      <c r="F8" s="288" t="e">
        <f t="array" ref="F8">INDEX(TabTur3Sub[Column3],MATCH(1,('III.B.'!D8=TabTur3Sub[Column1])*('III.B.'!E8=TabTur3Sub[Column4]),0),1)</f>
        <v>#N/A</v>
      </c>
      <c r="G8" s="83"/>
      <c r="H8" s="289">
        <f>IF(AND(ISTEXT(Tab3B[[#This Row],[Col1]]),ISTEXT(Tab3B[[#This Row],[Col2]]),ISTEXT(Tab3B[[#This Row],[Col4]]),ISTEXT(Tab3B[[#This Row],[Col6]])),1,0)</f>
        <v>0</v>
      </c>
      <c r="I8" s="290">
        <f>IFERROR(Tab3B[[#This Row],[Col7]]*VLOOKUP(Tab3B[[#This Row],[Col5]],TabTur3Sub[[Column3]:[Column5]],3,FALSE),0)</f>
        <v>0</v>
      </c>
      <c r="J8" s="85" t="s">
        <v>370</v>
      </c>
      <c r="K8" s="86"/>
    </row>
    <row r="9" spans="1:11" x14ac:dyDescent="0.2">
      <c r="B9" s="84" t="s">
        <v>533</v>
      </c>
    </row>
    <row r="11" spans="1:11" x14ac:dyDescent="0.2">
      <c r="G11" s="552"/>
      <c r="H11" s="554" t="s">
        <v>535</v>
      </c>
      <c r="I11" s="556"/>
      <c r="J11" s="556"/>
      <c r="K11" s="555"/>
    </row>
    <row r="12" spans="1:11" x14ac:dyDescent="0.2">
      <c r="G12" s="552"/>
      <c r="H12" s="552" t="s">
        <v>401</v>
      </c>
      <c r="I12" s="552"/>
      <c r="J12" s="554" t="s">
        <v>402</v>
      </c>
      <c r="K12" s="555"/>
    </row>
    <row r="13" spans="1:11" x14ac:dyDescent="0.2">
      <c r="G13" s="552"/>
      <c r="H13" s="273" t="s">
        <v>405</v>
      </c>
      <c r="I13" s="273" t="s">
        <v>12</v>
      </c>
      <c r="J13" s="273" t="s">
        <v>405</v>
      </c>
      <c r="K13" s="273" t="s">
        <v>12</v>
      </c>
    </row>
    <row r="14" spans="1:11" x14ac:dyDescent="0.2">
      <c r="G14" s="298" t="str">
        <f>TabelUtama!H3</f>
        <v>Semester 1</v>
      </c>
      <c r="H14" s="273">
        <f>SUMPRODUCT((Tab3B[Col1]=$G14)*(Tab3B[Col7]))</f>
        <v>0</v>
      </c>
      <c r="I14" s="273">
        <f>SUMPRODUCT((Tab3B[Col1]=$G14)*(Tab3B[Col8]))</f>
        <v>0</v>
      </c>
      <c r="J14" s="273">
        <f>SUMPRODUCT((Tab3B[Col1]=$G14)*(Tab3B[Col9]=Ya)*(Tab3B[Col7]))</f>
        <v>0</v>
      </c>
      <c r="K14" s="273">
        <f>SUMPRODUCT((Tab3B[Col1]=$G14)*(Tab3B[Col9]=Ya)*(Tab3B[Col8]))</f>
        <v>0</v>
      </c>
    </row>
    <row r="15" spans="1:11" x14ac:dyDescent="0.2">
      <c r="G15" s="298" t="str">
        <f>TabelUtama!H4</f>
        <v>Semester 2</v>
      </c>
      <c r="H15" s="273">
        <f>SUMPRODUCT((Tab3B[Col1]=$G15)*(Tab3B[Col7]))</f>
        <v>0</v>
      </c>
      <c r="I15" s="273">
        <f>SUMPRODUCT((Tab3B[Col1]=$G15)*(Tab3B[Col8]))</f>
        <v>0</v>
      </c>
      <c r="J15" s="273">
        <f>SUMPRODUCT((Tab3B[Col1]=$G15)*(Tab3B[Col9]=Ya)*(Tab3B[Col7]))</f>
        <v>0</v>
      </c>
      <c r="K15" s="273">
        <f>SUMPRODUCT((Tab3B[Col1]=$G15)*(Tab3B[Col9]=Ya)*(Tab3B[Col8]))</f>
        <v>0</v>
      </c>
    </row>
    <row r="16" spans="1:11" x14ac:dyDescent="0.2">
      <c r="G16" s="298" t="str">
        <f>TabelUtama!H5</f>
        <v>1 Tahun</v>
      </c>
      <c r="H16" s="273">
        <f>SUMPRODUCT((Tab3B[Col1]=$G16)*(Tab3B[Col7]))</f>
        <v>0</v>
      </c>
      <c r="I16" s="273">
        <f>SUMPRODUCT((Tab3B[Col1]=$G16)*(Tab3B[Col8]))</f>
        <v>0</v>
      </c>
      <c r="J16" s="273">
        <f>SUMPRODUCT((Tab3B[Col1]=$G16)*(Tab3B[Col9]=Ya)*(Tab3B[Col7]))</f>
        <v>0</v>
      </c>
      <c r="K16" s="273">
        <f>SUMPRODUCT((Tab3B[Col1]=$G16)*(Tab3B[Col9]=Ya)*(Tab3B[Col8]))</f>
        <v>0</v>
      </c>
    </row>
    <row r="18" spans="7:11" x14ac:dyDescent="0.2">
      <c r="G18" s="242" t="s">
        <v>721</v>
      </c>
      <c r="H18" s="241"/>
      <c r="I18" s="242"/>
      <c r="J18" s="242"/>
      <c r="K18" s="242"/>
    </row>
  </sheetData>
  <mergeCells count="4">
    <mergeCell ref="G11:G13"/>
    <mergeCell ref="H11:K11"/>
    <mergeCell ref="H12:I12"/>
    <mergeCell ref="J12:K12"/>
  </mergeCells>
  <dataValidations count="4">
    <dataValidation type="list" allowBlank="1" showInputMessage="1" showErrorMessage="1" sqref="J7:J8" xr:uid="{00000000-0002-0000-1900-000000000000}">
      <formula1>TabutPilihanIsi</formula1>
    </dataValidation>
    <dataValidation type="list" allowBlank="1" showInputMessage="1" showErrorMessage="1" sqref="B7:B8" xr:uid="{00000000-0002-0000-1900-000001000000}">
      <formula1>TabutKalenderIsi</formula1>
    </dataValidation>
    <dataValidation type="list" allowBlank="1" showInputMessage="1" showErrorMessage="1" sqref="C7:C8" xr:uid="{00000000-0002-0000-1900-000002000000}">
      <formula1>OFFSET(_3_region_head,MATCH($A$1,_3_region_all,0)-1,3,COUNTIF(_3_region_all,$A$1),1)</formula1>
    </dataValidation>
    <dataValidation type="list" allowBlank="1" showInputMessage="1" showErrorMessage="1" sqref="E7:E8" xr:uid="{00000000-0002-0000-1900-000003000000}">
      <formula1>OFFSET(_3Sub_region_head,MATCH(D7,_3Sub_region_all,0)-1,3,COUNTIF(_3Sub_region_all,D7),1)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L34"/>
  <sheetViews>
    <sheetView workbookViewId="0">
      <selection activeCell="I8" sqref="I8"/>
    </sheetView>
  </sheetViews>
  <sheetFormatPr baseColWidth="10" defaultColWidth="9.1640625" defaultRowHeight="15" x14ac:dyDescent="0.2"/>
  <cols>
    <col min="1" max="1" width="3.83203125" style="1" customWidth="1"/>
    <col min="2" max="2" width="11.6640625" style="1" customWidth="1"/>
    <col min="3" max="3" width="45.6640625" style="1" customWidth="1"/>
    <col min="4" max="4" width="11.1640625" style="1" hidden="1" customWidth="1"/>
    <col min="5" max="5" width="35.6640625" style="1" customWidth="1"/>
    <col min="6" max="8" width="11" style="1" customWidth="1"/>
    <col min="9" max="16384" width="9.1640625" style="1"/>
  </cols>
  <sheetData>
    <row r="1" spans="2:12" x14ac:dyDescent="0.2">
      <c r="B1" s="26" t="s">
        <v>356</v>
      </c>
      <c r="C1" s="26"/>
      <c r="D1" s="27"/>
      <c r="E1" s="27"/>
      <c r="F1" s="27"/>
      <c r="G1" s="27"/>
    </row>
    <row r="2" spans="2:12" x14ac:dyDescent="0.2">
      <c r="B2" s="25" t="s">
        <v>763</v>
      </c>
      <c r="C2" s="364" t="s">
        <v>276</v>
      </c>
      <c r="D2" s="28"/>
      <c r="F2" s="25" t="s">
        <v>764</v>
      </c>
      <c r="L2" s="25" t="s">
        <v>765</v>
      </c>
    </row>
    <row r="3" spans="2:12" ht="12.75" customHeight="1" x14ac:dyDescent="0.2">
      <c r="B3" s="315" t="str">
        <f>INDEX(TabRef2[],MATCH($B$2,TabRef2[Column3],0),4)</f>
        <v>Hasil penelitian atau pemikiran atau kerjasama industri yang tidak dipublikasikan (tersimpan dalam perpustakaan)</v>
      </c>
      <c r="C3" s="300"/>
      <c r="D3" s="300"/>
      <c r="F3" s="315" t="str">
        <f>INDEX(TabRef2[],MATCH($F$2,TabRef2[Column3],0),4)</f>
        <v>Menerjemahkan/menyadur buku ilmiah yang diterbitkan (ber ISBN)</v>
      </c>
      <c r="L3" s="315" t="str">
        <f>INDEX(TabRef2[],MATCH($L$2,TabRef2[Column3],0),4)</f>
        <v>Mengedit/menyunting karya ilmiah dalam bentuk buku yang diterbitkan (ber ISBN)</v>
      </c>
    </row>
    <row r="5" spans="2:12" x14ac:dyDescent="0.2">
      <c r="B5" s="65" t="s">
        <v>411</v>
      </c>
      <c r="C5" s="65" t="s">
        <v>359</v>
      </c>
      <c r="D5" s="65" t="s">
        <v>530</v>
      </c>
      <c r="E5" s="65" t="s">
        <v>531</v>
      </c>
      <c r="F5" s="65" t="s">
        <v>405</v>
      </c>
      <c r="G5" s="65" t="s">
        <v>12</v>
      </c>
      <c r="H5" s="65" t="s">
        <v>372</v>
      </c>
      <c r="I5" s="65" t="s">
        <v>536</v>
      </c>
    </row>
    <row r="6" spans="2:12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</row>
    <row r="7" spans="2:12" ht="32" hidden="1" x14ac:dyDescent="0.2">
      <c r="B7" s="302"/>
      <c r="C7" s="303" t="s">
        <v>50</v>
      </c>
      <c r="D7" s="288" t="str">
        <f>IFERROR(INDEX(TabTur3[Column3],MATCH('III.CDE.'!C7,TabTur3[Column4],0),1),"")</f>
        <v>III.D.0.</v>
      </c>
      <c r="E7" s="303" t="s">
        <v>537</v>
      </c>
      <c r="F7" s="289">
        <f>IF(AND(ISTEXT(Tab3CDE[[#This Row],[Col1]]),ISTEXT(Tab3CDE[[#This Row],[Col2]]),ISTEXT(Tab3CDE[[#This Row],[Col4]])),1,0)</f>
        <v>0</v>
      </c>
      <c r="G7" s="289">
        <f>IFERROR(Tab3CDE[[#This Row],[Col5]]*VLOOKUP(Tab3CDE[[#This Row],[Col3]],TabTur3Sub[],5,FALSE),0)</f>
        <v>0</v>
      </c>
      <c r="H7" s="304"/>
      <c r="I7" s="305"/>
    </row>
    <row r="8" spans="2:12" ht="48" x14ac:dyDescent="0.2">
      <c r="B8" s="363" t="s">
        <v>361</v>
      </c>
      <c r="C8" s="82" t="s">
        <v>781</v>
      </c>
      <c r="D8" s="288" t="str">
        <f>IFERROR(INDEX(TabTur3[Column3],MATCH('III.CDE.'!C8,TabTur3[Column4],0),1),"")</f>
        <v>III.C.0.</v>
      </c>
      <c r="E8" s="83" t="s">
        <v>900</v>
      </c>
      <c r="F8" s="290">
        <f>IF(AND(ISTEXT(Tab3CDE[[#This Row],[Col1]]),ISTEXT(Tab3CDE[[#This Row],[Col2]]),ISTEXT(Tab3CDE[[#This Row],[Col4]])),1,0)</f>
        <v>1</v>
      </c>
      <c r="G8" s="290">
        <f>IFERROR(Tab3CDE[[#This Row],[Col5]]*VLOOKUP(Tab3CDE[[#This Row],[Col3]],TabTur3Sub[],5,FALSE),0)</f>
        <v>2</v>
      </c>
      <c r="H8" s="85" t="s">
        <v>370</v>
      </c>
      <c r="I8" s="86"/>
    </row>
    <row r="9" spans="2:12" x14ac:dyDescent="0.2">
      <c r="B9" s="84" t="s">
        <v>533</v>
      </c>
    </row>
    <row r="10" spans="2:12" x14ac:dyDescent="0.2">
      <c r="I10" s="364" t="s">
        <v>276</v>
      </c>
    </row>
    <row r="11" spans="2:12" x14ac:dyDescent="0.2">
      <c r="C11" s="93"/>
      <c r="E11" s="568" t="s">
        <v>49</v>
      </c>
      <c r="F11" s="554" t="s">
        <v>535</v>
      </c>
      <c r="G11" s="556"/>
      <c r="H11" s="556"/>
      <c r="I11" s="555"/>
    </row>
    <row r="12" spans="2:12" ht="15" customHeight="1" x14ac:dyDescent="0.2">
      <c r="C12" s="93"/>
      <c r="E12" s="569"/>
      <c r="F12" s="552" t="s">
        <v>401</v>
      </c>
      <c r="G12" s="552"/>
      <c r="H12" s="554" t="s">
        <v>402</v>
      </c>
      <c r="I12" s="555"/>
    </row>
    <row r="13" spans="2:12" x14ac:dyDescent="0.2">
      <c r="C13" s="93"/>
      <c r="E13" s="570"/>
      <c r="F13" s="273" t="s">
        <v>405</v>
      </c>
      <c r="G13" s="273" t="s">
        <v>12</v>
      </c>
      <c r="H13" s="273" t="s">
        <v>405</v>
      </c>
      <c r="I13" s="273" t="s">
        <v>12</v>
      </c>
    </row>
    <row r="14" spans="2:12" x14ac:dyDescent="0.2">
      <c r="C14" s="93"/>
      <c r="E14" s="298" t="str">
        <f>TabelUtama!H3</f>
        <v>Semester 1</v>
      </c>
      <c r="F14" s="273">
        <f>SUMPRODUCT((Tab3CDE[Col1]=$E14)*(Tab3CDE[Col3]=$I$10)*(Tab3CDE[Col5]))</f>
        <v>1</v>
      </c>
      <c r="G14" s="273">
        <f>SUMPRODUCT((Tab3CDE[Col1]=$E14)*(Tab3CDE[Col3]=$I$10)*(Tab3CDE[Col6]))</f>
        <v>2</v>
      </c>
      <c r="H14" s="273">
        <f>SUMPRODUCT((Tab3CDE[Col1]=$E14)*(Tab3CDE[Col7]=Ya)*(Tab3CDE[Col3]=$I$10)*(Tab3CDE[Col5]))</f>
        <v>1</v>
      </c>
      <c r="I14" s="273">
        <f>SUMPRODUCT((Tab3CDE[Col1]=$E14)*(Tab3CDE[Col7]=Ya)*(Tab3CDE[Col3]=$I$10)*(Tab3CDE[Col6]))</f>
        <v>2</v>
      </c>
    </row>
    <row r="15" spans="2:12" x14ac:dyDescent="0.2">
      <c r="C15" s="93"/>
      <c r="E15" s="298" t="str">
        <f>TabelUtama!H4</f>
        <v>Semester 2</v>
      </c>
      <c r="F15" s="362">
        <f>SUMPRODUCT((Tab3CDE[Col1]=$E15)*(Tab3CDE[Col3]=$I$10)*(Tab3CDE[Col5]))</f>
        <v>0</v>
      </c>
      <c r="G15" s="362">
        <f>SUMPRODUCT((Tab3CDE[Col1]=$E15)*(Tab3CDE[Col3]=$I$10)*(Tab3CDE[Col6]))</f>
        <v>0</v>
      </c>
      <c r="H15" s="362">
        <f>SUMPRODUCT((Tab3CDE[Col1]=$E15)*(Tab3CDE[Col7]=Ya)*(Tab3CDE[Col3]=$I$10)*(Tab3CDE[Col5]))</f>
        <v>0</v>
      </c>
      <c r="I15" s="362">
        <f>SUMPRODUCT((Tab3CDE[Col1]=$E15)*(Tab3CDE[Col7]=Ya)*(Tab3CDE[Col3]=$I$10)*(Tab3CDE[Col6]))</f>
        <v>0</v>
      </c>
    </row>
    <row r="16" spans="2:12" x14ac:dyDescent="0.2">
      <c r="C16" s="93"/>
      <c r="E16" s="298" t="str">
        <f>TabelUtama!H5</f>
        <v>1 Tahun</v>
      </c>
      <c r="F16" s="362">
        <f>SUMPRODUCT((Tab3CDE[Col1]=$E16)*(Tab3CDE[Col3]=$I$10)*(Tab3CDE[Col5]))</f>
        <v>0</v>
      </c>
      <c r="G16" s="362">
        <f>SUMPRODUCT((Tab3CDE[Col1]=$E16)*(Tab3CDE[Col3]=$I$10)*(Tab3CDE[Col6]))</f>
        <v>0</v>
      </c>
      <c r="H16" s="362">
        <f>SUMPRODUCT((Tab3CDE[Col1]=$E16)*(Tab3CDE[Col7]=Ya)*(Tab3CDE[Col3]=$I$10)*(Tab3CDE[Col5]))</f>
        <v>0</v>
      </c>
      <c r="I16" s="362">
        <f>SUMPRODUCT((Tab3CDE[Col1]=$E16)*(Tab3CDE[Col7]=Ya)*(Tab3CDE[Col3]=$I$10)*(Tab3CDE[Col6]))</f>
        <v>0</v>
      </c>
    </row>
    <row r="17" spans="3:9" x14ac:dyDescent="0.2">
      <c r="C17" s="91"/>
      <c r="E17" s="92"/>
      <c r="F17" s="39"/>
      <c r="G17" s="39"/>
      <c r="H17" s="39"/>
      <c r="I17" s="39"/>
    </row>
    <row r="18" spans="3:9" x14ac:dyDescent="0.2">
      <c r="C18" s="94"/>
      <c r="I18" s="274" t="s">
        <v>277</v>
      </c>
    </row>
    <row r="19" spans="3:9" x14ac:dyDescent="0.2">
      <c r="C19" s="93"/>
      <c r="E19" s="565" t="s">
        <v>50</v>
      </c>
      <c r="F19" s="554" t="s">
        <v>535</v>
      </c>
      <c r="G19" s="556"/>
      <c r="H19" s="556"/>
      <c r="I19" s="555"/>
    </row>
    <row r="20" spans="3:9" ht="15" customHeight="1" x14ac:dyDescent="0.2">
      <c r="C20" s="93"/>
      <c r="E20" s="566"/>
      <c r="F20" s="552" t="s">
        <v>401</v>
      </c>
      <c r="G20" s="552"/>
      <c r="H20" s="554" t="s">
        <v>402</v>
      </c>
      <c r="I20" s="555"/>
    </row>
    <row r="21" spans="3:9" x14ac:dyDescent="0.2">
      <c r="C21" s="93"/>
      <c r="E21" s="567"/>
      <c r="F21" s="273" t="s">
        <v>405</v>
      </c>
      <c r="G21" s="273" t="s">
        <v>12</v>
      </c>
      <c r="H21" s="273" t="s">
        <v>405</v>
      </c>
      <c r="I21" s="273" t="s">
        <v>12</v>
      </c>
    </row>
    <row r="22" spans="3:9" x14ac:dyDescent="0.2">
      <c r="C22" s="93"/>
      <c r="E22" s="298" t="str">
        <f>E14</f>
        <v>Semester 1</v>
      </c>
      <c r="F22" s="273">
        <f>SUMPRODUCT((Tab3CDE[Col1]=$E22)*(Tab3CDE[Col3]=$I$18)*(Tab3CDE[Col5]))</f>
        <v>0</v>
      </c>
      <c r="G22" s="273">
        <f>SUMPRODUCT((Tab3CDE[Col1]=$E22)*(Tab3CDE[Col3]=$I$18)*(Tab3CDE[Col6]))</f>
        <v>0</v>
      </c>
      <c r="H22" s="273">
        <f>SUMPRODUCT((Tab3CDE[Col1]=$E22)*(Tab3CDE[Col7]=Ya)*(Tab3CDE[Col3]=$I$18)*(Tab3CDE[Col5]))</f>
        <v>0</v>
      </c>
      <c r="I22" s="273">
        <f>SUMPRODUCT((Tab3CDE[Col1]=$E22)*(Tab3CDE[Col7]=Ya)*(Tab3CDE[Col3]=$I$18)*(Tab3CDE[Col6]))</f>
        <v>0</v>
      </c>
    </row>
    <row r="23" spans="3:9" x14ac:dyDescent="0.2">
      <c r="C23" s="93"/>
      <c r="E23" s="298" t="str">
        <f>E15</f>
        <v>Semester 2</v>
      </c>
      <c r="F23" s="362">
        <f>SUMPRODUCT((Tab3CDE[Col1]=$E23)*(Tab3CDE[Col3]=$I$18)*(Tab3CDE[Col5]))</f>
        <v>0</v>
      </c>
      <c r="G23" s="362">
        <f>SUMPRODUCT((Tab3CDE[Col1]=$E23)*(Tab3CDE[Col3]=$I$18)*(Tab3CDE[Col6]))</f>
        <v>0</v>
      </c>
      <c r="H23" s="362">
        <f>SUMPRODUCT((Tab3CDE[Col1]=$E23)*(Tab3CDE[Col7]=Ya)*(Tab3CDE[Col3]=$I$18)*(Tab3CDE[Col5]))</f>
        <v>0</v>
      </c>
      <c r="I23" s="362">
        <f>SUMPRODUCT((Tab3CDE[Col1]=$E23)*(Tab3CDE[Col7]=Ya)*(Tab3CDE[Col3]=$I$18)*(Tab3CDE[Col6]))</f>
        <v>0</v>
      </c>
    </row>
    <row r="24" spans="3:9" x14ac:dyDescent="0.2">
      <c r="C24" s="93"/>
      <c r="E24" s="298" t="str">
        <f>E16</f>
        <v>1 Tahun</v>
      </c>
      <c r="F24" s="362">
        <f>SUMPRODUCT((Tab3CDE[Col1]=$E24)*(Tab3CDE[Col3]=$I$18)*(Tab3CDE[Col5]))</f>
        <v>0</v>
      </c>
      <c r="G24" s="362">
        <f>SUMPRODUCT((Tab3CDE[Col1]=$E24)*(Tab3CDE[Col3]=$I$18)*(Tab3CDE[Col6]))</f>
        <v>0</v>
      </c>
      <c r="H24" s="362">
        <f>SUMPRODUCT((Tab3CDE[Col1]=$E24)*(Tab3CDE[Col7]=Ya)*(Tab3CDE[Col3]=$I$18)*(Tab3CDE[Col5]))</f>
        <v>0</v>
      </c>
      <c r="I24" s="362">
        <f>SUMPRODUCT((Tab3CDE[Col1]=$E24)*(Tab3CDE[Col7]=Ya)*(Tab3CDE[Col3]=$I$18)*(Tab3CDE[Col6]))</f>
        <v>0</v>
      </c>
    </row>
    <row r="25" spans="3:9" x14ac:dyDescent="0.2">
      <c r="C25" s="91"/>
      <c r="E25" s="92"/>
      <c r="F25" s="39"/>
      <c r="G25" s="39"/>
      <c r="H25" s="39"/>
      <c r="I25" s="39"/>
    </row>
    <row r="26" spans="3:9" x14ac:dyDescent="0.2">
      <c r="C26" s="94"/>
      <c r="I26" s="274" t="s">
        <v>278</v>
      </c>
    </row>
    <row r="27" spans="3:9" x14ac:dyDescent="0.2">
      <c r="C27" s="93"/>
      <c r="E27" s="565" t="s">
        <v>51</v>
      </c>
      <c r="F27" s="554" t="s">
        <v>535</v>
      </c>
      <c r="G27" s="556"/>
      <c r="H27" s="556"/>
      <c r="I27" s="555"/>
    </row>
    <row r="28" spans="3:9" ht="15" customHeight="1" x14ac:dyDescent="0.2">
      <c r="C28" s="93"/>
      <c r="E28" s="566"/>
      <c r="F28" s="552" t="s">
        <v>401</v>
      </c>
      <c r="G28" s="552"/>
      <c r="H28" s="554" t="s">
        <v>402</v>
      </c>
      <c r="I28" s="555"/>
    </row>
    <row r="29" spans="3:9" x14ac:dyDescent="0.2">
      <c r="C29" s="93"/>
      <c r="E29" s="567"/>
      <c r="F29" s="273" t="s">
        <v>405</v>
      </c>
      <c r="G29" s="273" t="s">
        <v>12</v>
      </c>
      <c r="H29" s="273" t="s">
        <v>405</v>
      </c>
      <c r="I29" s="273" t="s">
        <v>12</v>
      </c>
    </row>
    <row r="30" spans="3:9" x14ac:dyDescent="0.2">
      <c r="C30" s="93"/>
      <c r="E30" s="298" t="str">
        <f>E22</f>
        <v>Semester 1</v>
      </c>
      <c r="F30" s="273">
        <f>SUMPRODUCT((Tab3CDE[Col1]=$E30)*(Tab3CDE[Col3]=$I$26)*(Tab3CDE[Col5]))</f>
        <v>0</v>
      </c>
      <c r="G30" s="273">
        <f>SUMPRODUCT((Tab3CDE[Col1]=$E30)*(Tab3CDE[Col3]=$I$26)*(Tab3CDE[Col6]))</f>
        <v>0</v>
      </c>
      <c r="H30" s="273">
        <f>SUMPRODUCT((Tab3CDE[Col1]=$E30)*(Tab3CDE[Col7]=Ya)*(Tab3CDE[Col3]=$I$26)*(Tab3CDE[Col5]))</f>
        <v>0</v>
      </c>
      <c r="I30" s="273">
        <f>SUMPRODUCT((Tab3CDE[Col1]=$E30)*(Tab3CDE[Col7]=Ya)*(Tab3CDE[Col3]=$I$26)*(Tab3CDE[Col6]))</f>
        <v>0</v>
      </c>
    </row>
    <row r="31" spans="3:9" x14ac:dyDescent="0.2">
      <c r="C31" s="93"/>
      <c r="E31" s="298" t="str">
        <f t="shared" ref="E31:E32" si="0">E23</f>
        <v>Semester 2</v>
      </c>
      <c r="F31" s="362">
        <f>SUMPRODUCT((Tab3CDE[Col1]=$E31)*(Tab3CDE[Col3]=$I$26)*(Tab3CDE[Col5]))</f>
        <v>0</v>
      </c>
      <c r="G31" s="362">
        <f>SUMPRODUCT((Tab3CDE[Col1]=$E31)*(Tab3CDE[Col3]=$I$26)*(Tab3CDE[Col6]))</f>
        <v>0</v>
      </c>
      <c r="H31" s="362">
        <f>SUMPRODUCT((Tab3CDE[Col1]=$E31)*(Tab3CDE[Col7]=Ya)*(Tab3CDE[Col3]=$I$26)*(Tab3CDE[Col5]))</f>
        <v>0</v>
      </c>
      <c r="I31" s="362">
        <f>SUMPRODUCT((Tab3CDE[Col1]=$E31)*(Tab3CDE[Col7]=Ya)*(Tab3CDE[Col3]=$I$26)*(Tab3CDE[Col6]))</f>
        <v>0</v>
      </c>
    </row>
    <row r="32" spans="3:9" x14ac:dyDescent="0.2">
      <c r="C32" s="93"/>
      <c r="E32" s="298" t="str">
        <f t="shared" si="0"/>
        <v>1 Tahun</v>
      </c>
      <c r="F32" s="362">
        <f>SUMPRODUCT((Tab3CDE[Col1]=$E32)*(Tab3CDE[Col3]=$I$26)*(Tab3CDE[Col5]))</f>
        <v>0</v>
      </c>
      <c r="G32" s="362">
        <f>SUMPRODUCT((Tab3CDE[Col1]=$E32)*(Tab3CDE[Col3]=$I$26)*(Tab3CDE[Col6]))</f>
        <v>0</v>
      </c>
      <c r="H32" s="362">
        <f>SUMPRODUCT((Tab3CDE[Col1]=$E32)*(Tab3CDE[Col7]=Ya)*(Tab3CDE[Col3]=$I$26)*(Tab3CDE[Col5]))</f>
        <v>0</v>
      </c>
      <c r="I32" s="362">
        <f>SUMPRODUCT((Tab3CDE[Col1]=$E32)*(Tab3CDE[Col7]=Ya)*(Tab3CDE[Col3]=$I$26)*(Tab3CDE[Col6]))</f>
        <v>0</v>
      </c>
    </row>
    <row r="34" spans="5:9" x14ac:dyDescent="0.2">
      <c r="E34" s="242" t="s">
        <v>721</v>
      </c>
      <c r="F34" s="241"/>
      <c r="G34" s="242"/>
      <c r="H34" s="242"/>
      <c r="I34" s="242"/>
    </row>
  </sheetData>
  <mergeCells count="12">
    <mergeCell ref="E27:E29"/>
    <mergeCell ref="F27:I27"/>
    <mergeCell ref="F28:G28"/>
    <mergeCell ref="H28:I28"/>
    <mergeCell ref="E11:E13"/>
    <mergeCell ref="F11:I11"/>
    <mergeCell ref="F12:G12"/>
    <mergeCell ref="H12:I12"/>
    <mergeCell ref="E19:E21"/>
    <mergeCell ref="F19:I19"/>
    <mergeCell ref="F20:G20"/>
    <mergeCell ref="H20:I20"/>
  </mergeCells>
  <dataValidations count="3">
    <dataValidation type="list" allowBlank="1" showInputMessage="1" showErrorMessage="1" sqref="B7:B8" xr:uid="{00000000-0002-0000-1A00-000000000000}">
      <formula1>TabutKalenderIsi</formula1>
    </dataValidation>
    <dataValidation type="list" allowBlank="1" showInputMessage="1" showErrorMessage="1" sqref="H7:H8" xr:uid="{00000000-0002-0000-1A00-000001000000}">
      <formula1>TabutPilihanIsi</formula1>
    </dataValidation>
    <dataValidation type="list" allowBlank="1" showInputMessage="1" showErrorMessage="1" sqref="C7:C8" xr:uid="{00000000-0002-0000-1A00-000002000000}">
      <formula1>OFFSET(_3_region_head2,MATCH("0.",_3_region_all2,0)-1,2,COUNTIF(_3_region_all2,"0."),1)</formula1>
    </dataValidation>
  </dataValidations>
  <pageMargins left="0.7" right="0.7" top="0.75" bottom="0.75" header="0.3" footer="0.3"/>
  <pageSetup paperSize="150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8"/>
  <sheetViews>
    <sheetView workbookViewId="0">
      <selection activeCell="I8" sqref="I8"/>
    </sheetView>
  </sheetViews>
  <sheetFormatPr baseColWidth="10" defaultColWidth="9.1640625" defaultRowHeight="15" x14ac:dyDescent="0.2"/>
  <cols>
    <col min="1" max="1" width="5.33203125" style="1" customWidth="1"/>
    <col min="2" max="2" width="11.6640625" style="1" customWidth="1"/>
    <col min="3" max="3" width="45.6640625" style="1" customWidth="1"/>
    <col min="4" max="4" width="12.33203125" style="1" hidden="1" customWidth="1"/>
    <col min="5" max="5" width="46.6640625" style="1" customWidth="1"/>
    <col min="6" max="9" width="10.6640625" style="1" customWidth="1"/>
    <col min="10" max="16384" width="9.1640625" style="1"/>
  </cols>
  <sheetData>
    <row r="1" spans="1:9" x14ac:dyDescent="0.2">
      <c r="A1" s="299" t="s">
        <v>134</v>
      </c>
      <c r="B1" s="26" t="s">
        <v>356</v>
      </c>
      <c r="C1" s="26"/>
      <c r="D1" s="27"/>
      <c r="E1" s="27"/>
      <c r="F1" s="27"/>
      <c r="G1" s="27"/>
    </row>
    <row r="2" spans="1:9" x14ac:dyDescent="0.2">
      <c r="B2" s="25" t="s">
        <v>134</v>
      </c>
      <c r="C2" s="26"/>
      <c r="D2" s="28"/>
      <c r="E2" s="28"/>
      <c r="F2" s="28"/>
      <c r="G2" s="28"/>
    </row>
    <row r="3" spans="1:9" ht="15" customHeight="1" x14ac:dyDescent="0.2">
      <c r="B3" s="315" t="str">
        <f>INDEX(TabRef2[],MATCH($B$2,TabRef2[Column3],0),4)</f>
        <v>Membuat rancangan dan karya teknologi/seni yang dipatenkan secara nasional atau internasional</v>
      </c>
      <c r="C3" s="300"/>
      <c r="D3" s="300"/>
      <c r="E3" s="300"/>
      <c r="F3" s="300"/>
      <c r="G3" s="300"/>
    </row>
    <row r="5" spans="1:9" x14ac:dyDescent="0.2">
      <c r="B5" s="89" t="s">
        <v>411</v>
      </c>
      <c r="C5" s="89" t="s">
        <v>359</v>
      </c>
      <c r="D5" s="89" t="s">
        <v>530</v>
      </c>
      <c r="E5" s="89" t="s">
        <v>531</v>
      </c>
      <c r="F5" s="89" t="s">
        <v>405</v>
      </c>
      <c r="G5" s="89" t="s">
        <v>12</v>
      </c>
      <c r="H5" s="89" t="s">
        <v>372</v>
      </c>
      <c r="I5" s="89" t="s">
        <v>536</v>
      </c>
    </row>
    <row r="6" spans="1:9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</row>
    <row r="7" spans="1:9" ht="16" hidden="1" x14ac:dyDescent="0.2">
      <c r="B7" s="302"/>
      <c r="C7" s="303" t="s">
        <v>135</v>
      </c>
      <c r="D7" s="289" t="str">
        <f>INDEX(TabTur3[Column3],MATCH('III.F.'!C7,TabTur3[Column4],0),1)</f>
        <v>III.F.2.</v>
      </c>
      <c r="E7" s="288"/>
      <c r="F7" s="289">
        <f>IF(AND(ISTEXT(Tab3F[[#This Row],[Col1]]),ISTEXT(Tab3F[[#This Row],[Col2]]),ISTEXT(Tab3F[[#This Row],[Col4]])),1,0)</f>
        <v>0</v>
      </c>
      <c r="G7" s="289">
        <f>IFERROR(Tab3F[[#This Row],[Col5]]*VLOOKUP(Tab3F[[#This Row],[Col3]],TabTur3Sub[[Column1]:[Column5]],5,FALSE),0)</f>
        <v>0</v>
      </c>
      <c r="H7" s="304"/>
      <c r="I7" s="305"/>
    </row>
    <row r="8" spans="1:9" ht="48" x14ac:dyDescent="0.2">
      <c r="B8" s="81" t="s">
        <v>361</v>
      </c>
      <c r="C8" s="82" t="s">
        <v>794</v>
      </c>
      <c r="D8" s="289" t="str">
        <f>INDEX(TabTur3[Column3],MATCH('III.F.'!C8,TabTur3[Column4],0),1)</f>
        <v>III.F.6.</v>
      </c>
      <c r="E8" s="83" t="s">
        <v>901</v>
      </c>
      <c r="F8" s="289">
        <f>IF(AND(ISTEXT(Tab3F[[#This Row],[Col1]]),ISTEXT(Tab3F[[#This Row],[Col2]]),ISTEXT(Tab3F[[#This Row],[Col4]])),1,0)</f>
        <v>1</v>
      </c>
      <c r="G8" s="290">
        <f>IFERROR(Tab3F[[#This Row],[Col5]]*VLOOKUP(Tab3F[[#This Row],[Col3]],TabTur3Sub[[Column1]:[Column5]],5,FALSE),0)</f>
        <v>15</v>
      </c>
      <c r="H8" s="85" t="s">
        <v>370</v>
      </c>
      <c r="I8" s="86"/>
    </row>
    <row r="9" spans="1:9" x14ac:dyDescent="0.2">
      <c r="B9" s="84" t="s">
        <v>533</v>
      </c>
    </row>
    <row r="11" spans="1:9" x14ac:dyDescent="0.2">
      <c r="E11" s="552"/>
      <c r="F11" s="554" t="s">
        <v>535</v>
      </c>
      <c r="G11" s="556"/>
      <c r="H11" s="556"/>
      <c r="I11" s="555"/>
    </row>
    <row r="12" spans="1:9" x14ac:dyDescent="0.2">
      <c r="E12" s="552"/>
      <c r="F12" s="552" t="s">
        <v>401</v>
      </c>
      <c r="G12" s="552"/>
      <c r="H12" s="554" t="s">
        <v>402</v>
      </c>
      <c r="I12" s="555"/>
    </row>
    <row r="13" spans="1:9" x14ac:dyDescent="0.2">
      <c r="E13" s="552"/>
      <c r="F13" s="273" t="s">
        <v>405</v>
      </c>
      <c r="G13" s="273" t="s">
        <v>12</v>
      </c>
      <c r="H13" s="273" t="s">
        <v>405</v>
      </c>
      <c r="I13" s="273" t="s">
        <v>12</v>
      </c>
    </row>
    <row r="14" spans="1:9" x14ac:dyDescent="0.2">
      <c r="E14" s="298" t="str">
        <f>TabelUtama!H3</f>
        <v>Semester 1</v>
      </c>
      <c r="F14" s="273">
        <f>SUMPRODUCT((Tab3F[Col1]=$E14)*(Tab3F[Col5]))</f>
        <v>1</v>
      </c>
      <c r="G14" s="273">
        <f>SUMPRODUCT((Tab3F[Col1]=$E14)*(Tab3F[Col6]))</f>
        <v>15</v>
      </c>
      <c r="H14" s="273">
        <f>SUMPRODUCT((Tab3F[Col1]=$E14)*(Tab3F[Col7]=Ya)*(Tab3F[Col5]))</f>
        <v>1</v>
      </c>
      <c r="I14" s="273">
        <f>SUMPRODUCT((Tab3F[Col1]=$E14)*(Tab3F[Col7]=Ya)*(Tab3F[Col6]))</f>
        <v>15</v>
      </c>
    </row>
    <row r="15" spans="1:9" x14ac:dyDescent="0.2">
      <c r="E15" s="298" t="str">
        <f>TabelUtama!H4</f>
        <v>Semester 2</v>
      </c>
      <c r="F15" s="273">
        <f>SUMPRODUCT((Tab3F[Col1]=$E15)*(Tab3F[Col5]))</f>
        <v>0</v>
      </c>
      <c r="G15" s="273">
        <f>SUMPRODUCT((Tab3F[Col1]=$E15)*(Tab3F[Col6]))</f>
        <v>0</v>
      </c>
      <c r="H15" s="273">
        <f>SUMPRODUCT((Tab3F[Col1]=$E15)*(Tab3F[Col7]=Ya)*(Tab3F[Col5]))</f>
        <v>0</v>
      </c>
      <c r="I15" s="273">
        <f>SUMPRODUCT((Tab3F[Col1]=$E15)*(Tab3F[Col7]=Ya)*(Tab3F[Col6]))</f>
        <v>0</v>
      </c>
    </row>
    <row r="16" spans="1:9" x14ac:dyDescent="0.2">
      <c r="E16" s="298" t="str">
        <f>TabelUtama!H5</f>
        <v>1 Tahun</v>
      </c>
      <c r="F16" s="273">
        <f>SUMPRODUCT((Tab3F[Col1]=$E16)*(Tab3F[Col5]))</f>
        <v>0</v>
      </c>
      <c r="G16" s="273">
        <f>SUMPRODUCT((Tab3F[Col1]=$E16)*(Tab3F[Col6]))</f>
        <v>0</v>
      </c>
      <c r="H16" s="273">
        <f>SUMPRODUCT((Tab3F[Col1]=$E16)*(Tab3F[Col7]=Ya)*(Tab3F[Col5]))</f>
        <v>0</v>
      </c>
      <c r="I16" s="273">
        <f>SUMPRODUCT((Tab3F[Col1]=$E16)*(Tab3F[Col7]=Ya)*(Tab3F[Col6]))</f>
        <v>0</v>
      </c>
    </row>
    <row r="18" spans="5:9" x14ac:dyDescent="0.2">
      <c r="E18" s="242" t="s">
        <v>721</v>
      </c>
      <c r="F18" s="241"/>
      <c r="G18" s="242"/>
      <c r="H18" s="242"/>
      <c r="I18" s="242"/>
    </row>
  </sheetData>
  <mergeCells count="4">
    <mergeCell ref="E11:E13"/>
    <mergeCell ref="F11:I11"/>
    <mergeCell ref="F12:G12"/>
    <mergeCell ref="H12:I12"/>
  </mergeCells>
  <dataValidations count="3">
    <dataValidation type="list" allowBlank="1" showInputMessage="1" showErrorMessage="1" sqref="C7:C8" xr:uid="{00000000-0002-0000-1B00-000000000000}">
      <formula1>OFFSET(_3_region_head,MATCH($A$1,_3_region_all,0)-1,3,COUNTIF(_3_region_all,$A$1),1)</formula1>
    </dataValidation>
    <dataValidation type="list" allowBlank="1" showInputMessage="1" showErrorMessage="1" sqref="B7:B8" xr:uid="{00000000-0002-0000-1B00-000001000000}">
      <formula1>TabutKalenderIsi</formula1>
    </dataValidation>
    <dataValidation type="list" allowBlank="1" showInputMessage="1" showErrorMessage="1" sqref="H7:H8" xr:uid="{00000000-0002-0000-1B00-000002000000}">
      <formula1>TabutPilihanIsi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8"/>
  <sheetViews>
    <sheetView workbookViewId="0">
      <selection activeCell="K22" sqref="K22"/>
    </sheetView>
  </sheetViews>
  <sheetFormatPr baseColWidth="10" defaultColWidth="9.1640625" defaultRowHeight="15" x14ac:dyDescent="0.2"/>
  <cols>
    <col min="1" max="1" width="5.1640625" style="1" bestFit="1" customWidth="1"/>
    <col min="2" max="2" width="11.6640625" style="1" customWidth="1"/>
    <col min="3" max="3" width="45.6640625" style="1" customWidth="1"/>
    <col min="4" max="4" width="12.33203125" style="1" hidden="1" customWidth="1"/>
    <col min="5" max="5" width="46.6640625" style="1" customWidth="1"/>
    <col min="6" max="9" width="10.6640625" style="1" customWidth="1"/>
    <col min="10" max="16384" width="9.1640625" style="1"/>
  </cols>
  <sheetData>
    <row r="1" spans="1:9" x14ac:dyDescent="0.2">
      <c r="A1" s="299" t="s">
        <v>137</v>
      </c>
      <c r="B1" s="26" t="s">
        <v>356</v>
      </c>
      <c r="C1" s="26"/>
      <c r="D1" s="27"/>
      <c r="E1" s="27"/>
      <c r="F1" s="27"/>
      <c r="G1" s="27"/>
    </row>
    <row r="2" spans="1:9" x14ac:dyDescent="0.2">
      <c r="B2" s="25" t="s">
        <v>137</v>
      </c>
      <c r="C2" s="26"/>
      <c r="D2" s="28"/>
      <c r="E2" s="28"/>
      <c r="F2" s="28"/>
      <c r="G2" s="28"/>
    </row>
    <row r="3" spans="1:9" ht="15" customHeight="1" x14ac:dyDescent="0.2">
      <c r="B3" s="315" t="str">
        <f>INDEX(TabRef2[],MATCH($B$2,TabRef2[Column3],0),4)</f>
        <v>Membuat rancangan dan karya teknologi yang tidak dipatenkan; rancangan dan karya seni monumental/ seni pertunjukan; karya sastra</v>
      </c>
      <c r="C3" s="300"/>
      <c r="D3" s="300"/>
      <c r="E3" s="300"/>
      <c r="F3" s="300"/>
      <c r="G3" s="300"/>
    </row>
    <row r="5" spans="1:9" x14ac:dyDescent="0.2">
      <c r="B5" s="90" t="s">
        <v>411</v>
      </c>
      <c r="C5" s="90" t="s">
        <v>359</v>
      </c>
      <c r="D5" s="90" t="s">
        <v>530</v>
      </c>
      <c r="E5" s="90" t="s">
        <v>531</v>
      </c>
      <c r="F5" s="90" t="s">
        <v>405</v>
      </c>
      <c r="G5" s="90" t="s">
        <v>12</v>
      </c>
      <c r="H5" s="90" t="s">
        <v>372</v>
      </c>
      <c r="I5" s="90" t="s">
        <v>536</v>
      </c>
    </row>
    <row r="6" spans="1:9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</row>
    <row r="7" spans="1:9" ht="16" hidden="1" x14ac:dyDescent="0.2">
      <c r="B7" s="302"/>
      <c r="C7" s="303" t="s">
        <v>138</v>
      </c>
      <c r="D7" s="289" t="str">
        <f>INDEX(TabTur3[Column3],MATCH('III.G.'!C7,TabTur3[Column4],0),1)</f>
        <v>III.G.1.</v>
      </c>
      <c r="E7" s="288"/>
      <c r="F7" s="289">
        <f>IF(AND(ISTEXT(Tab3G[[#This Row],[Col1]]),ISTEXT(Tab3G[[#This Row],[Col2]]),ISTEXT(Tab3G[[#This Row],[Col4]])),1,0)</f>
        <v>0</v>
      </c>
      <c r="G7" s="289">
        <f>IFERROR(Tab3G[[#This Row],[Col5]]*VLOOKUP(Tab3G[[#This Row],[Col3]],TabTur3Sub[[Column1]:[Column5]],5,FALSE),0)</f>
        <v>0</v>
      </c>
      <c r="H7" s="304"/>
      <c r="I7" s="305"/>
    </row>
    <row r="8" spans="1:9" x14ac:dyDescent="0.2">
      <c r="B8" s="81"/>
      <c r="C8" s="82"/>
      <c r="D8" s="289" t="e">
        <f>INDEX(TabTur3[Column3],MATCH('III.G.'!C8,TabTur3[Column4],0),1)</f>
        <v>#N/A</v>
      </c>
      <c r="E8" s="83"/>
      <c r="F8" s="289">
        <f>IF(AND(ISTEXT(Tab3G[[#This Row],[Col1]]),ISTEXT(Tab3G[[#This Row],[Col2]]),ISTEXT(Tab3G[[#This Row],[Col4]])),1,0)</f>
        <v>0</v>
      </c>
      <c r="G8" s="290">
        <f>IFERROR(Tab3G[[#This Row],[Col5]]*VLOOKUP(Tab3G[[#This Row],[Col3]],TabTur3Sub[[Column1]:[Column5]],5,FALSE),0)</f>
        <v>0</v>
      </c>
      <c r="H8" s="85" t="s">
        <v>370</v>
      </c>
      <c r="I8" s="86"/>
    </row>
    <row r="9" spans="1:9" x14ac:dyDescent="0.2">
      <c r="B9" s="84" t="s">
        <v>533</v>
      </c>
    </row>
    <row r="11" spans="1:9" x14ac:dyDescent="0.2">
      <c r="E11" s="552"/>
      <c r="F11" s="554" t="s">
        <v>535</v>
      </c>
      <c r="G11" s="556"/>
      <c r="H11" s="556"/>
      <c r="I11" s="555"/>
    </row>
    <row r="12" spans="1:9" x14ac:dyDescent="0.2">
      <c r="E12" s="552"/>
      <c r="F12" s="552" t="s">
        <v>401</v>
      </c>
      <c r="G12" s="552"/>
      <c r="H12" s="554" t="s">
        <v>402</v>
      </c>
      <c r="I12" s="555"/>
    </row>
    <row r="13" spans="1:9" x14ac:dyDescent="0.2">
      <c r="E13" s="552"/>
      <c r="F13" s="273" t="s">
        <v>405</v>
      </c>
      <c r="G13" s="273" t="s">
        <v>12</v>
      </c>
      <c r="H13" s="273" t="s">
        <v>405</v>
      </c>
      <c r="I13" s="273" t="s">
        <v>12</v>
      </c>
    </row>
    <row r="14" spans="1:9" x14ac:dyDescent="0.2">
      <c r="E14" s="298" t="str">
        <f>TabelUtama!H3</f>
        <v>Semester 1</v>
      </c>
      <c r="F14" s="273">
        <f>SUMPRODUCT((Tab3G[Col1]=$E14)*(Tab3G[Col5]))</f>
        <v>0</v>
      </c>
      <c r="G14" s="273">
        <f>SUMPRODUCT((Tab3G[Col1]=$E14)*(Tab3G[Col6]))</f>
        <v>0</v>
      </c>
      <c r="H14" s="273">
        <f>SUMPRODUCT((Tab3G[Col1]=$E14)*(Tab3G[Col7]=Ya)*(Tab3G[Col5]))</f>
        <v>0</v>
      </c>
      <c r="I14" s="273">
        <f>SUMPRODUCT((Tab3G[Col1]=$E14)*(Tab3G[Col7]=Ya)*(Tab3G[Col6]))</f>
        <v>0</v>
      </c>
    </row>
    <row r="15" spans="1:9" x14ac:dyDescent="0.2">
      <c r="E15" s="298" t="str">
        <f>TabelUtama!H4</f>
        <v>Semester 2</v>
      </c>
      <c r="F15" s="273">
        <f>SUMPRODUCT((Tab3G[Col1]=$E15)*(Tab3G[Col5]))</f>
        <v>0</v>
      </c>
      <c r="G15" s="273">
        <f>SUMPRODUCT((Tab3G[Col1]=$E15)*(Tab3G[Col6]))</f>
        <v>0</v>
      </c>
      <c r="H15" s="273">
        <f>SUMPRODUCT((Tab3G[Col1]=$E15)*(Tab3G[Col7]=Ya)*(Tab3G[Col5]))</f>
        <v>0</v>
      </c>
      <c r="I15" s="273">
        <f>SUMPRODUCT((Tab3G[Col1]=$E15)*(Tab3G[Col7]=Ya)*(Tab3G[Col6]))</f>
        <v>0</v>
      </c>
    </row>
    <row r="16" spans="1:9" x14ac:dyDescent="0.2">
      <c r="E16" s="298" t="str">
        <f>TabelUtama!H5</f>
        <v>1 Tahun</v>
      </c>
      <c r="F16" s="273">
        <f>SUMPRODUCT((Tab3G[Col1]=$E16)*(Tab3G[Col5]))</f>
        <v>0</v>
      </c>
      <c r="G16" s="273">
        <f>SUMPRODUCT((Tab3G[Col1]=$E16)*(Tab3G[Col6]))</f>
        <v>0</v>
      </c>
      <c r="H16" s="273">
        <f>SUMPRODUCT((Tab3G[Col1]=$E16)*(Tab3G[Col7]=Ya)*(Tab3G[Col5]))</f>
        <v>0</v>
      </c>
      <c r="I16" s="273">
        <f>SUMPRODUCT((Tab3G[Col1]=$E16)*(Tab3G[Col7]=Ya)*(Tab3G[Col6]))</f>
        <v>0</v>
      </c>
    </row>
    <row r="18" spans="5:9" x14ac:dyDescent="0.2">
      <c r="E18" s="242" t="s">
        <v>721</v>
      </c>
      <c r="F18" s="241"/>
      <c r="G18" s="242"/>
      <c r="H18" s="242"/>
      <c r="I18" s="242"/>
    </row>
  </sheetData>
  <mergeCells count="4">
    <mergeCell ref="E11:E13"/>
    <mergeCell ref="F11:I11"/>
    <mergeCell ref="F12:G12"/>
    <mergeCell ref="H12:I12"/>
  </mergeCells>
  <dataValidations count="3">
    <dataValidation type="list" allowBlank="1" showInputMessage="1" showErrorMessage="1" sqref="H7:H8" xr:uid="{00000000-0002-0000-1C00-000000000000}">
      <formula1>TabutPilihanIsi</formula1>
    </dataValidation>
    <dataValidation type="list" allowBlank="1" showInputMessage="1" showErrorMessage="1" sqref="B7:B8" xr:uid="{00000000-0002-0000-1C00-000001000000}">
      <formula1>TabutKalenderIsi</formula1>
    </dataValidation>
    <dataValidation type="list" allowBlank="1" showInputMessage="1" showErrorMessage="1" sqref="C7:C8" xr:uid="{00000000-0002-0000-1C00-000002000000}">
      <formula1>OFFSET(_3_region_head,MATCH($A$1,_3_region_all,0)-1,3,COUNTIF(_3_region_all,$A$1),1)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8"/>
  <sheetViews>
    <sheetView workbookViewId="0">
      <selection activeCell="E17" sqref="E17"/>
    </sheetView>
  </sheetViews>
  <sheetFormatPr baseColWidth="10" defaultColWidth="9.1640625" defaultRowHeight="15" x14ac:dyDescent="0.2"/>
  <cols>
    <col min="1" max="1" width="5.1640625" style="1" bestFit="1" customWidth="1"/>
    <col min="2" max="2" width="11.6640625" style="1" customWidth="1"/>
    <col min="3" max="3" width="45.6640625" style="1" customWidth="1"/>
    <col min="4" max="4" width="7.5" style="1" hidden="1" customWidth="1"/>
    <col min="5" max="5" width="45.6640625" style="1" customWidth="1"/>
    <col min="6" max="6" width="9.83203125" style="1" hidden="1" customWidth="1"/>
    <col min="7" max="7" width="35.6640625" style="1" customWidth="1"/>
    <col min="8" max="10" width="11" style="1" customWidth="1"/>
    <col min="11" max="16384" width="9.1640625" style="1"/>
  </cols>
  <sheetData>
    <row r="1" spans="1:11" x14ac:dyDescent="0.2">
      <c r="A1" s="299" t="s">
        <v>141</v>
      </c>
      <c r="B1" s="26" t="s">
        <v>356</v>
      </c>
      <c r="C1" s="26"/>
      <c r="D1" s="27"/>
      <c r="E1" s="27"/>
      <c r="F1" s="27"/>
      <c r="G1" s="27"/>
    </row>
    <row r="2" spans="1:11" x14ac:dyDescent="0.2">
      <c r="B2" s="25" t="s">
        <v>141</v>
      </c>
      <c r="C2" s="26"/>
      <c r="D2" s="28"/>
      <c r="E2" s="28"/>
      <c r="F2" s="28"/>
      <c r="G2" s="28"/>
    </row>
    <row r="3" spans="1:11" ht="15" customHeight="1" x14ac:dyDescent="0.2">
      <c r="B3" s="315" t="str">
        <f>INDEX(TabRef2[],MATCH($B$2,TabRef2[Column3],0),4)</f>
        <v>Pelaksanaan Penelitian/ Karya Seni</v>
      </c>
      <c r="C3" s="300"/>
      <c r="D3" s="300"/>
      <c r="E3" s="300"/>
      <c r="F3" s="300"/>
      <c r="G3" s="300"/>
    </row>
    <row r="5" spans="1:11" x14ac:dyDescent="0.2">
      <c r="B5" s="95" t="s">
        <v>411</v>
      </c>
      <c r="C5" s="95" t="s">
        <v>359</v>
      </c>
      <c r="D5" s="95" t="s">
        <v>530</v>
      </c>
      <c r="E5" s="95" t="s">
        <v>532</v>
      </c>
      <c r="F5" s="95"/>
      <c r="G5" s="95" t="s">
        <v>531</v>
      </c>
      <c r="H5" s="95" t="s">
        <v>405</v>
      </c>
      <c r="I5" s="95" t="s">
        <v>12</v>
      </c>
      <c r="J5" s="95" t="s">
        <v>372</v>
      </c>
      <c r="K5" s="95" t="s">
        <v>536</v>
      </c>
    </row>
    <row r="6" spans="1:11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  <c r="J6" s="59" t="s">
        <v>730</v>
      </c>
      <c r="K6" s="59" t="s">
        <v>731</v>
      </c>
    </row>
    <row r="7" spans="1:11" ht="48" hidden="1" x14ac:dyDescent="0.2">
      <c r="B7" s="302"/>
      <c r="C7" s="303" t="s">
        <v>142</v>
      </c>
      <c r="D7" s="288" t="str">
        <f>INDEX(TabTur3[Column3],MATCH('III.H.'!C7,TabTur3[Column4],0),1)</f>
        <v>III.H.1.</v>
      </c>
      <c r="E7" s="303" t="s">
        <v>257</v>
      </c>
      <c r="F7" s="288" t="str">
        <f t="array" ref="F7">INDEX(TabTur3Sub[Column3],MATCH(1,('III.H.'!D7=TabTur3Sub[Column1])*('III.H.'!E7=TabTur3Sub[Column4]),0),1)</f>
        <v>III.H.1.a.</v>
      </c>
      <c r="G7" s="288"/>
      <c r="H7" s="289">
        <f>IF(AND(ISTEXT(Tab3H[[#This Row],[Col1]]),ISTEXT(Tab3H[[#This Row],[Col2]]),ISTEXT(Tab3H[[#This Row],[Col4]]),ISTEXT(Tab3H[[#This Row],[Col6]])),1,0)</f>
        <v>0</v>
      </c>
      <c r="I7" s="289">
        <f>IFERROR(Tab3H[[#This Row],[Col7]]*VLOOKUP(Tab3H[[#This Row],[Col5]],TabTur3Sub[[Column3]:[Column5]],3,FALSE),0)</f>
        <v>0</v>
      </c>
      <c r="J7" s="304"/>
      <c r="K7" s="305"/>
    </row>
    <row r="8" spans="1:11" x14ac:dyDescent="0.2">
      <c r="B8" s="81"/>
      <c r="C8" s="82"/>
      <c r="D8" s="288" t="e">
        <f>INDEX(TabTur3[Column3],MATCH('III.H.'!C8,TabTur3[Column4],0),1)</f>
        <v>#N/A</v>
      </c>
      <c r="E8" s="82"/>
      <c r="F8" s="288" t="e">
        <f t="array" ref="F8">INDEX(TabTur3Sub[Column3],MATCH(1,('III.H.'!D8=TabTur3Sub[Column1])*('III.H.'!E8=TabTur3Sub[Column4]),0),1)</f>
        <v>#N/A</v>
      </c>
      <c r="G8" s="83"/>
      <c r="H8" s="289">
        <f>IF(AND(ISTEXT(Tab3H[[#This Row],[Col1]]),ISTEXT(Tab3H[[#This Row],[Col2]]),ISTEXT(Tab3H[[#This Row],[Col4]]),ISTEXT(Tab3H[[#This Row],[Col6]])),1,0)</f>
        <v>0</v>
      </c>
      <c r="I8" s="290">
        <f>IFERROR(Tab3H[[#This Row],[Col7]]*VLOOKUP(Tab3H[[#This Row],[Col5]],TabTur3Sub[[Column3]:[Column5]],3,FALSE),0)</f>
        <v>0</v>
      </c>
      <c r="J8" s="85" t="s">
        <v>370</v>
      </c>
      <c r="K8" s="86"/>
    </row>
    <row r="9" spans="1:11" x14ac:dyDescent="0.2">
      <c r="B9" s="84" t="s">
        <v>533</v>
      </c>
    </row>
    <row r="11" spans="1:11" x14ac:dyDescent="0.2">
      <c r="G11" s="552"/>
      <c r="H11" s="554" t="s">
        <v>535</v>
      </c>
      <c r="I11" s="556"/>
      <c r="J11" s="556"/>
      <c r="K11" s="555"/>
    </row>
    <row r="12" spans="1:11" x14ac:dyDescent="0.2">
      <c r="G12" s="552"/>
      <c r="H12" s="552" t="s">
        <v>401</v>
      </c>
      <c r="I12" s="552"/>
      <c r="J12" s="554" t="s">
        <v>402</v>
      </c>
      <c r="K12" s="555"/>
    </row>
    <row r="13" spans="1:11" x14ac:dyDescent="0.2">
      <c r="G13" s="552"/>
      <c r="H13" s="273" t="s">
        <v>405</v>
      </c>
      <c r="I13" s="273" t="s">
        <v>12</v>
      </c>
      <c r="J13" s="273" t="s">
        <v>405</v>
      </c>
      <c r="K13" s="273" t="s">
        <v>12</v>
      </c>
    </row>
    <row r="14" spans="1:11" x14ac:dyDescent="0.2">
      <c r="G14" s="298" t="str">
        <f>TabelUtama!H3</f>
        <v>Semester 1</v>
      </c>
      <c r="H14" s="273">
        <f>SUMPRODUCT((Tab3H[Col1]=$G14)*(Tab3H[Col7]))</f>
        <v>0</v>
      </c>
      <c r="I14" s="273">
        <f>SUMPRODUCT((Tab3H[Col1]=$G14)*(Tab3H[Col8]))</f>
        <v>0</v>
      </c>
      <c r="J14" s="273">
        <f>SUMPRODUCT((Tab3H[Col1]=$G14)*(Tab3H[Col9]=Ya)*(Tab3H[Col7]))</f>
        <v>0</v>
      </c>
      <c r="K14" s="273">
        <f>SUMPRODUCT((Tab3H[Col1]=$G14)*(Tab3H[Col9]=Ya)*(Tab3H[Col8]))</f>
        <v>0</v>
      </c>
    </row>
    <row r="15" spans="1:11" x14ac:dyDescent="0.2">
      <c r="G15" s="298" t="str">
        <f>TabelUtama!H4</f>
        <v>Semester 2</v>
      </c>
      <c r="H15" s="273">
        <f>SUMPRODUCT((Tab3H[Col1]=$G15)*(Tab3H[Col7]))</f>
        <v>0</v>
      </c>
      <c r="I15" s="273">
        <f>SUMPRODUCT((Tab3H[Col1]=$G15)*(Tab3H[Col8]))</f>
        <v>0</v>
      </c>
      <c r="J15" s="273">
        <f>SUMPRODUCT((Tab3H[Col1]=$G15)*(Tab3H[Col9]=Ya)*(Tab3H[Col7]))</f>
        <v>0</v>
      </c>
      <c r="K15" s="273">
        <f>SUMPRODUCT((Tab3H[Col1]=$G15)*(Tab3H[Col9]=Ya)*(Tab3H[Col8]))</f>
        <v>0</v>
      </c>
    </row>
    <row r="16" spans="1:11" x14ac:dyDescent="0.2">
      <c r="G16" s="298" t="str">
        <f>TabelUtama!H5</f>
        <v>1 Tahun</v>
      </c>
      <c r="H16" s="273">
        <f>SUMPRODUCT((Tab3H[Col1]=$G16)*(Tab3H[Col7]))</f>
        <v>0</v>
      </c>
      <c r="I16" s="273">
        <f>SUMPRODUCT((Tab3H[Col1]=$G16)*(Tab3H[Col8]))</f>
        <v>0</v>
      </c>
      <c r="J16" s="273">
        <f>SUMPRODUCT((Tab3H[Col1]=$G16)*(Tab3H[Col9]=Ya)*(Tab3H[Col7]))</f>
        <v>0</v>
      </c>
      <c r="K16" s="273">
        <f>SUMPRODUCT((Tab3H[Col1]=$G16)*(Tab3H[Col9]=Ya)*(Tab3H[Col8]))</f>
        <v>0</v>
      </c>
    </row>
    <row r="18" spans="7:11" x14ac:dyDescent="0.2">
      <c r="G18" s="242" t="s">
        <v>721</v>
      </c>
      <c r="H18" s="241"/>
      <c r="I18" s="242"/>
      <c r="J18" s="242"/>
      <c r="K18" s="242"/>
    </row>
  </sheetData>
  <mergeCells count="4">
    <mergeCell ref="G11:G13"/>
    <mergeCell ref="H11:K11"/>
    <mergeCell ref="H12:I12"/>
    <mergeCell ref="J12:K12"/>
  </mergeCells>
  <dataValidations count="4">
    <dataValidation type="list" allowBlank="1" showInputMessage="1" showErrorMessage="1" sqref="C7:C8" xr:uid="{00000000-0002-0000-1D00-000000000000}">
      <formula1>OFFSET(_3_region_head,MATCH($A$1,_3_region_all,0)-1,3,COUNTIF(_3_region_all,$A$1),1)</formula1>
    </dataValidation>
    <dataValidation type="list" allowBlank="1" showInputMessage="1" showErrorMessage="1" sqref="B7:B8" xr:uid="{00000000-0002-0000-1D00-000001000000}">
      <formula1>TabutKalenderIsi</formula1>
    </dataValidation>
    <dataValidation type="list" allowBlank="1" showInputMessage="1" showErrorMessage="1" sqref="J7:J8" xr:uid="{00000000-0002-0000-1D00-000002000000}">
      <formula1>TabutPilihanIsi</formula1>
    </dataValidation>
    <dataValidation type="list" allowBlank="1" showInputMessage="1" showErrorMessage="1" sqref="E7:E8" xr:uid="{00000000-0002-0000-1D00-000003000000}">
      <formula1>OFFSET(_3Sub_region_head,MATCH(D7,_3Sub_region_all,0)-1,3,COUNTIF(_3Sub_region_all,D7),1)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8"/>
  <sheetViews>
    <sheetView workbookViewId="0">
      <selection activeCell="G8" sqref="G8"/>
    </sheetView>
  </sheetViews>
  <sheetFormatPr baseColWidth="10" defaultColWidth="9.1640625" defaultRowHeight="15" x14ac:dyDescent="0.2"/>
  <cols>
    <col min="1" max="1" width="4.5" style="1" bestFit="1" customWidth="1"/>
    <col min="2" max="2" width="11.6640625" style="1" customWidth="1"/>
    <col min="3" max="3" width="45.6640625" style="1" customWidth="1"/>
    <col min="4" max="4" width="7.5" style="1" hidden="1" customWidth="1"/>
    <col min="5" max="5" width="45.6640625" style="1" customWidth="1"/>
    <col min="6" max="6" width="9.83203125" style="1" hidden="1" customWidth="1"/>
    <col min="7" max="7" width="35.6640625" style="1" customWidth="1"/>
    <col min="8" max="10" width="11" style="1" customWidth="1"/>
    <col min="11" max="16384" width="9.1640625" style="1"/>
  </cols>
  <sheetData>
    <row r="1" spans="1:11" x14ac:dyDescent="0.2">
      <c r="A1" s="299" t="s">
        <v>145</v>
      </c>
      <c r="B1" s="26" t="s">
        <v>356</v>
      </c>
      <c r="C1" s="26"/>
      <c r="D1" s="27"/>
      <c r="E1" s="27"/>
      <c r="F1" s="27"/>
      <c r="G1" s="27"/>
    </row>
    <row r="2" spans="1:11" x14ac:dyDescent="0.2">
      <c r="B2" s="25" t="s">
        <v>145</v>
      </c>
      <c r="C2" s="26"/>
      <c r="D2" s="28"/>
      <c r="E2" s="28"/>
      <c r="F2" s="28"/>
      <c r="G2" s="28"/>
    </row>
    <row r="3" spans="1:11" ht="15" customHeight="1" x14ac:dyDescent="0.2">
      <c r="B3" s="315" t="str">
        <f>INDEX(TabRef2[],MATCH($B$2,TabRef2[Column3],0),4)</f>
        <v>Pelaksanaan Penelitian/ Karya Sastra</v>
      </c>
      <c r="C3" s="300"/>
      <c r="D3" s="300"/>
      <c r="E3" s="300"/>
      <c r="F3" s="300"/>
      <c r="G3" s="300"/>
    </row>
    <row r="5" spans="1:11" x14ac:dyDescent="0.2">
      <c r="B5" s="96" t="s">
        <v>411</v>
      </c>
      <c r="C5" s="96" t="s">
        <v>359</v>
      </c>
      <c r="D5" s="96" t="s">
        <v>530</v>
      </c>
      <c r="E5" s="96" t="s">
        <v>532</v>
      </c>
      <c r="F5" s="96"/>
      <c r="G5" s="96" t="s">
        <v>531</v>
      </c>
      <c r="H5" s="96" t="s">
        <v>405</v>
      </c>
      <c r="I5" s="96" t="s">
        <v>12</v>
      </c>
      <c r="J5" s="96" t="s">
        <v>372</v>
      </c>
      <c r="K5" s="96" t="s">
        <v>536</v>
      </c>
    </row>
    <row r="6" spans="1:11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  <c r="J6" s="59" t="s">
        <v>730</v>
      </c>
      <c r="K6" s="59" t="s">
        <v>731</v>
      </c>
    </row>
    <row r="7" spans="1:11" ht="16" hidden="1" x14ac:dyDescent="0.2">
      <c r="B7" s="302"/>
      <c r="C7" s="303" t="s">
        <v>146</v>
      </c>
      <c r="D7" s="288" t="str">
        <f>INDEX(TabTur3[Column3],MATCH('III.I.'!C7,TabTur3[Column4],0),1)</f>
        <v>III.I.1.</v>
      </c>
      <c r="E7" s="303" t="s">
        <v>257</v>
      </c>
      <c r="F7" s="288" t="str">
        <f t="array" ref="F7">INDEX(TabTur3Sub[Column3],MATCH(1,('III.I.'!D7=TabTur3Sub[Column1])*('III.I.'!E7=TabTur3Sub[Column4]),0),1)</f>
        <v>III.I.1.a.</v>
      </c>
      <c r="G7" s="288"/>
      <c r="H7" s="289">
        <f>IF(AND(ISTEXT(Tab3I[[#This Row],[Col1]]),ISTEXT(Tab3I[[#This Row],[Col2]]),ISTEXT(Tab3I[[#This Row],[Col4]]),ISTEXT(Tab3I[[#This Row],[Col6]])),1,0)</f>
        <v>0</v>
      </c>
      <c r="I7" s="289">
        <f>IFERROR(Tab3I[[#This Row],[Col7]]*VLOOKUP(Tab3I[[#This Row],[Col5]],TabTur3Sub[[Column3]:[Column5]],3,FALSE),0)</f>
        <v>0</v>
      </c>
      <c r="J7" s="304"/>
      <c r="K7" s="305"/>
    </row>
    <row r="8" spans="1:11" x14ac:dyDescent="0.2">
      <c r="B8" s="81"/>
      <c r="C8" s="82"/>
      <c r="D8" s="288" t="e">
        <f>INDEX(TabTur3[Column3],MATCH('III.I.'!C8,TabTur3[Column4],0),1)</f>
        <v>#N/A</v>
      </c>
      <c r="E8" s="82"/>
      <c r="F8" s="288" t="e">
        <f t="array" ref="F8">INDEX(TabTur3Sub[Column3],MATCH(1,('III.I.'!D8=TabTur3Sub[Column1])*('III.I.'!E8=TabTur3Sub[Column4]),0),1)</f>
        <v>#N/A</v>
      </c>
      <c r="G8" s="83"/>
      <c r="H8" s="289">
        <f>IF(AND(ISTEXT(Tab3I[[#This Row],[Col1]]),ISTEXT(Tab3I[[#This Row],[Col2]]),ISTEXT(Tab3I[[#This Row],[Col4]]),ISTEXT(Tab3I[[#This Row],[Col6]])),1,0)</f>
        <v>0</v>
      </c>
      <c r="I8" s="290">
        <f>IFERROR(Tab3I[[#This Row],[Col7]]*VLOOKUP(Tab3I[[#This Row],[Col5]],TabTur3Sub[[Column3]:[Column5]],3,FALSE),0)</f>
        <v>0</v>
      </c>
      <c r="J8" s="85" t="s">
        <v>370</v>
      </c>
      <c r="K8" s="86"/>
    </row>
    <row r="9" spans="1:11" x14ac:dyDescent="0.2">
      <c r="B9" s="84" t="s">
        <v>533</v>
      </c>
    </row>
    <row r="11" spans="1:11" x14ac:dyDescent="0.2">
      <c r="G11" s="552"/>
      <c r="H11" s="554" t="s">
        <v>535</v>
      </c>
      <c r="I11" s="556"/>
      <c r="J11" s="556"/>
      <c r="K11" s="555"/>
    </row>
    <row r="12" spans="1:11" x14ac:dyDescent="0.2">
      <c r="G12" s="552"/>
      <c r="H12" s="552" t="s">
        <v>401</v>
      </c>
      <c r="I12" s="552"/>
      <c r="J12" s="554" t="s">
        <v>402</v>
      </c>
      <c r="K12" s="555"/>
    </row>
    <row r="13" spans="1:11" x14ac:dyDescent="0.2">
      <c r="G13" s="552"/>
      <c r="H13" s="273" t="s">
        <v>405</v>
      </c>
      <c r="I13" s="273" t="s">
        <v>12</v>
      </c>
      <c r="J13" s="273" t="s">
        <v>405</v>
      </c>
      <c r="K13" s="273" t="s">
        <v>12</v>
      </c>
    </row>
    <row r="14" spans="1:11" x14ac:dyDescent="0.2">
      <c r="G14" s="298" t="str">
        <f>TabelUtama!H3</f>
        <v>Semester 1</v>
      </c>
      <c r="H14" s="273">
        <f>SUMPRODUCT((Tab3I[Col1]=$G14)*(Tab3I[Col7]))</f>
        <v>0</v>
      </c>
      <c r="I14" s="273">
        <f>SUMPRODUCT((Tab3I[Col1]=$G14)*(Tab3I[Col8]))</f>
        <v>0</v>
      </c>
      <c r="J14" s="273">
        <f>SUMPRODUCT((Tab3I[Col1]=$G14)*(Tab3I[Col9]=Ya)*(Tab3I[Col7]))</f>
        <v>0</v>
      </c>
      <c r="K14" s="273">
        <f>SUMPRODUCT((Tab3I[Col1]=$G14)*(Tab3I[Col9]=Ya)*(Tab3I[Col8]))</f>
        <v>0</v>
      </c>
    </row>
    <row r="15" spans="1:11" x14ac:dyDescent="0.2">
      <c r="G15" s="298" t="str">
        <f>TabelUtama!H4</f>
        <v>Semester 2</v>
      </c>
      <c r="H15" s="273">
        <f>SUMPRODUCT((Tab3I[Col1]=$G15)*(Tab3I[Col7]))</f>
        <v>0</v>
      </c>
      <c r="I15" s="273">
        <f>SUMPRODUCT((Tab3I[Col1]=$G15)*(Tab3I[Col8]))</f>
        <v>0</v>
      </c>
      <c r="J15" s="273">
        <f>SUMPRODUCT((Tab3I[Col1]=$G15)*(Tab3I[Col9]=Ya)*(Tab3I[Col7]))</f>
        <v>0</v>
      </c>
      <c r="K15" s="273">
        <f>SUMPRODUCT((Tab3I[Col1]=$G15)*(Tab3I[Col9]=Ya)*(Tab3I[Col8]))</f>
        <v>0</v>
      </c>
    </row>
    <row r="16" spans="1:11" x14ac:dyDescent="0.2">
      <c r="G16" s="298" t="str">
        <f>TabelUtama!H5</f>
        <v>1 Tahun</v>
      </c>
      <c r="H16" s="273">
        <f>SUMPRODUCT((Tab3I[Col1]=$G16)*(Tab3I[Col7]))</f>
        <v>0</v>
      </c>
      <c r="I16" s="273">
        <f>SUMPRODUCT((Tab3I[Col1]=$G16)*(Tab3I[Col8]))</f>
        <v>0</v>
      </c>
      <c r="J16" s="273">
        <f>SUMPRODUCT((Tab3I[Col1]=$G16)*(Tab3I[Col9]=Ya)*(Tab3I[Col7]))</f>
        <v>0</v>
      </c>
      <c r="K16" s="273">
        <f>SUMPRODUCT((Tab3I[Col1]=$G16)*(Tab3I[Col9]=Ya)*(Tab3I[Col8]))</f>
        <v>0</v>
      </c>
    </row>
    <row r="18" spans="7:11" x14ac:dyDescent="0.2">
      <c r="G18" s="242" t="s">
        <v>721</v>
      </c>
      <c r="H18" s="241"/>
      <c r="I18" s="242"/>
      <c r="J18" s="242"/>
      <c r="K18" s="242"/>
    </row>
  </sheetData>
  <mergeCells count="4">
    <mergeCell ref="G11:G13"/>
    <mergeCell ref="H11:K11"/>
    <mergeCell ref="H12:I12"/>
    <mergeCell ref="J12:K12"/>
  </mergeCells>
  <dataValidations count="4">
    <dataValidation type="list" allowBlank="1" showInputMessage="1" showErrorMessage="1" sqref="J7:J8" xr:uid="{00000000-0002-0000-1E00-000000000000}">
      <formula1>TabutPilihanIsi</formula1>
    </dataValidation>
    <dataValidation type="list" allowBlank="1" showInputMessage="1" showErrorMessage="1" sqref="B7:B8" xr:uid="{00000000-0002-0000-1E00-000001000000}">
      <formula1>TabutKalenderIsi</formula1>
    </dataValidation>
    <dataValidation type="list" allowBlank="1" showInputMessage="1" showErrorMessage="1" sqref="C7:C8" xr:uid="{00000000-0002-0000-1E00-000002000000}">
      <formula1>OFFSET(_3_region_head,MATCH($A$1,_3_region_all,0)-1,3,COUNTIF(_3_region_all,$A$1),1)</formula1>
    </dataValidation>
    <dataValidation type="list" allowBlank="1" showInputMessage="1" showErrorMessage="1" sqref="E7:E8" xr:uid="{00000000-0002-0000-1E00-000003000000}">
      <formula1>OFFSET(_3Sub_region_head,MATCH(D7,_3Sub_region_all,0)-1,3,COUNTIF(_3Sub_region_all,D7),1)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0000"/>
  </sheetPr>
  <dimension ref="A2:O43"/>
  <sheetViews>
    <sheetView topLeftCell="A19" workbookViewId="0">
      <selection activeCell="D31" sqref="D31"/>
    </sheetView>
  </sheetViews>
  <sheetFormatPr baseColWidth="10" defaultColWidth="9.1640625" defaultRowHeight="15" x14ac:dyDescent="0.2"/>
  <cols>
    <col min="1" max="1" width="5.33203125" style="114" customWidth="1"/>
    <col min="2" max="3" width="5.5" style="114" customWidth="1"/>
    <col min="4" max="16384" width="9.1640625" style="114"/>
  </cols>
  <sheetData>
    <row r="2" spans="1:15" x14ac:dyDescent="0.2">
      <c r="D2" s="114" t="s">
        <v>538</v>
      </c>
      <c r="E2" s="114" t="s">
        <v>539</v>
      </c>
      <c r="F2" s="114" t="s">
        <v>540</v>
      </c>
      <c r="G2" s="114" t="s">
        <v>541</v>
      </c>
    </row>
    <row r="3" spans="1:15" x14ac:dyDescent="0.2">
      <c r="D3" s="114" t="s">
        <v>550</v>
      </c>
      <c r="E3" s="114" t="s">
        <v>551</v>
      </c>
      <c r="F3" s="114" t="s">
        <v>552</v>
      </c>
      <c r="G3" s="114" t="s">
        <v>553</v>
      </c>
      <c r="H3" s="114" t="s">
        <v>554</v>
      </c>
      <c r="I3" s="114" t="s">
        <v>555</v>
      </c>
      <c r="J3" s="114" t="s">
        <v>556</v>
      </c>
      <c r="K3" s="114" t="s">
        <v>557</v>
      </c>
      <c r="L3" s="114" t="s">
        <v>567</v>
      </c>
      <c r="M3" s="114" t="s">
        <v>568</v>
      </c>
      <c r="N3" s="114" t="s">
        <v>569</v>
      </c>
      <c r="O3" s="114" t="s">
        <v>570</v>
      </c>
    </row>
    <row r="4" spans="1:15" s="115" customFormat="1" x14ac:dyDescent="0.2">
      <c r="A4" s="115">
        <v>1</v>
      </c>
      <c r="B4" s="116" t="s">
        <v>542</v>
      </c>
      <c r="C4" s="116" t="s">
        <v>543</v>
      </c>
      <c r="D4" s="116" t="str">
        <f>CONCATENATE($B4,$C4,D$3)</f>
        <v>__2A1TJ</v>
      </c>
      <c r="E4" s="116" t="str">
        <f t="shared" ref="E4:O19" si="0">CONCATENATE($B4,$C4,E$3)</f>
        <v>__2A2TJ</v>
      </c>
      <c r="F4" s="116" t="str">
        <f t="shared" si="0"/>
        <v>__2A1TK</v>
      </c>
      <c r="G4" s="116" t="str">
        <f t="shared" si="0"/>
        <v>__2A2TK</v>
      </c>
      <c r="H4" s="116" t="str">
        <f t="shared" si="0"/>
        <v>__2A1CJ</v>
      </c>
      <c r="I4" s="116" t="str">
        <f t="shared" si="0"/>
        <v>__2A2CJ</v>
      </c>
      <c r="J4" s="116" t="str">
        <f t="shared" si="0"/>
        <v>__2A1CK</v>
      </c>
      <c r="K4" s="116" t="str">
        <f t="shared" si="0"/>
        <v>__2A2CK</v>
      </c>
    </row>
    <row r="5" spans="1:15" s="115" customFormat="1" x14ac:dyDescent="0.2">
      <c r="A5" s="115">
        <v>2</v>
      </c>
      <c r="B5" s="116" t="s">
        <v>542</v>
      </c>
      <c r="C5" s="116" t="s">
        <v>415</v>
      </c>
      <c r="D5" s="116" t="str">
        <f t="shared" ref="D5:O20" si="1">CONCATENATE($B5,$C5,D$3)</f>
        <v>__2B1TJ</v>
      </c>
      <c r="E5" s="116" t="str">
        <f t="shared" si="0"/>
        <v>__2B2TJ</v>
      </c>
      <c r="F5" s="116" t="str">
        <f t="shared" si="0"/>
        <v>__2B1TK</v>
      </c>
      <c r="G5" s="116" t="str">
        <f t="shared" si="0"/>
        <v>__2B2TK</v>
      </c>
      <c r="H5" s="116" t="str">
        <f t="shared" si="0"/>
        <v>__2B1CJ</v>
      </c>
      <c r="I5" s="116" t="str">
        <f t="shared" si="0"/>
        <v>__2B2CJ</v>
      </c>
      <c r="J5" s="116" t="str">
        <f t="shared" si="0"/>
        <v>__2B1CK</v>
      </c>
      <c r="K5" s="116" t="str">
        <f t="shared" si="0"/>
        <v>__2B2CK</v>
      </c>
    </row>
    <row r="6" spans="1:15" s="115" customFormat="1" x14ac:dyDescent="0.2">
      <c r="A6" s="115">
        <v>3</v>
      </c>
      <c r="B6" s="116" t="s">
        <v>542</v>
      </c>
      <c r="C6" s="116" t="s">
        <v>416</v>
      </c>
      <c r="D6" s="116" t="str">
        <f t="shared" si="1"/>
        <v>__2C1TJ</v>
      </c>
      <c r="E6" s="116" t="str">
        <f t="shared" si="0"/>
        <v>__2C2TJ</v>
      </c>
      <c r="F6" s="116" t="str">
        <f t="shared" si="0"/>
        <v>__2C1TK</v>
      </c>
      <c r="G6" s="116" t="str">
        <f t="shared" si="0"/>
        <v>__2C2TK</v>
      </c>
      <c r="H6" s="116" t="str">
        <f t="shared" si="0"/>
        <v>__2C1CJ</v>
      </c>
      <c r="I6" s="116" t="str">
        <f t="shared" si="0"/>
        <v>__2C2CJ</v>
      </c>
      <c r="J6" s="116" t="str">
        <f t="shared" si="0"/>
        <v>__2C1CK</v>
      </c>
      <c r="K6" s="116" t="str">
        <f t="shared" si="0"/>
        <v>__2C2CK</v>
      </c>
    </row>
    <row r="7" spans="1:15" s="115" customFormat="1" x14ac:dyDescent="0.2">
      <c r="A7" s="115">
        <v>4</v>
      </c>
      <c r="B7" s="116" t="s">
        <v>542</v>
      </c>
      <c r="C7" s="116" t="s">
        <v>544</v>
      </c>
      <c r="D7" s="116" t="str">
        <f t="shared" si="1"/>
        <v>__2D1TJ</v>
      </c>
      <c r="E7" s="116" t="str">
        <f t="shared" si="0"/>
        <v>__2D2TJ</v>
      </c>
      <c r="F7" s="116" t="str">
        <f t="shared" si="0"/>
        <v>__2D1TK</v>
      </c>
      <c r="G7" s="116" t="str">
        <f t="shared" si="0"/>
        <v>__2D2TK</v>
      </c>
      <c r="H7" s="116" t="str">
        <f t="shared" si="0"/>
        <v>__2D1CJ</v>
      </c>
      <c r="I7" s="116" t="str">
        <f t="shared" si="0"/>
        <v>__2D2CJ</v>
      </c>
      <c r="J7" s="116" t="str">
        <f t="shared" si="0"/>
        <v>__2D1CK</v>
      </c>
      <c r="K7" s="116" t="str">
        <f t="shared" si="0"/>
        <v>__2D2CK</v>
      </c>
    </row>
    <row r="8" spans="1:15" s="115" customFormat="1" x14ac:dyDescent="0.2">
      <c r="A8" s="115">
        <v>5</v>
      </c>
      <c r="B8" s="116" t="s">
        <v>542</v>
      </c>
      <c r="C8" s="116" t="s">
        <v>545</v>
      </c>
      <c r="D8" s="116" t="str">
        <f t="shared" si="1"/>
        <v>__2E1TJ</v>
      </c>
      <c r="E8" s="116" t="str">
        <f t="shared" si="0"/>
        <v>__2E2TJ</v>
      </c>
      <c r="F8" s="116" t="str">
        <f t="shared" si="0"/>
        <v>__2E1TK</v>
      </c>
      <c r="G8" s="116" t="str">
        <f t="shared" si="0"/>
        <v>__2E2TK</v>
      </c>
      <c r="H8" s="116" t="str">
        <f t="shared" si="0"/>
        <v>__2E1CJ</v>
      </c>
      <c r="I8" s="116" t="str">
        <f t="shared" si="0"/>
        <v>__2E2CJ</v>
      </c>
      <c r="J8" s="116" t="str">
        <f t="shared" si="0"/>
        <v>__2E1CK</v>
      </c>
      <c r="K8" s="116" t="str">
        <f t="shared" si="0"/>
        <v>__2E2CK</v>
      </c>
    </row>
    <row r="9" spans="1:15" s="115" customFormat="1" x14ac:dyDescent="0.2">
      <c r="A9" s="115">
        <v>6</v>
      </c>
      <c r="B9" s="116" t="s">
        <v>542</v>
      </c>
      <c r="C9" s="116" t="s">
        <v>412</v>
      </c>
      <c r="D9" s="116" t="str">
        <f t="shared" si="1"/>
        <v>__2F1TJ</v>
      </c>
      <c r="E9" s="116" t="str">
        <f t="shared" si="0"/>
        <v>__2F2TJ</v>
      </c>
      <c r="F9" s="116" t="str">
        <f t="shared" si="0"/>
        <v>__2F1TK</v>
      </c>
      <c r="G9" s="116" t="str">
        <f t="shared" si="0"/>
        <v>__2F2TK</v>
      </c>
      <c r="H9" s="116" t="str">
        <f t="shared" si="0"/>
        <v>__2F1CJ</v>
      </c>
      <c r="I9" s="116" t="str">
        <f t="shared" si="0"/>
        <v>__2F2CJ</v>
      </c>
      <c r="J9" s="116" t="str">
        <f t="shared" si="0"/>
        <v>__2F1CK</v>
      </c>
      <c r="K9" s="116" t="str">
        <f t="shared" si="0"/>
        <v>__2F2CK</v>
      </c>
    </row>
    <row r="10" spans="1:15" s="115" customFormat="1" x14ac:dyDescent="0.2">
      <c r="A10" s="115">
        <v>7</v>
      </c>
      <c r="B10" s="116" t="s">
        <v>542</v>
      </c>
      <c r="C10" s="116" t="s">
        <v>417</v>
      </c>
      <c r="D10" s="116" t="str">
        <f t="shared" si="1"/>
        <v>__2G1TJ</v>
      </c>
      <c r="E10" s="116" t="str">
        <f t="shared" si="0"/>
        <v>__2G2TJ</v>
      </c>
      <c r="F10" s="116" t="str">
        <f t="shared" si="0"/>
        <v>__2G1TK</v>
      </c>
      <c r="G10" s="116" t="str">
        <f t="shared" si="0"/>
        <v>__2G2TK</v>
      </c>
      <c r="H10" s="116" t="str">
        <f t="shared" si="0"/>
        <v>__2G1CJ</v>
      </c>
      <c r="I10" s="116" t="str">
        <f t="shared" si="0"/>
        <v>__2G2CJ</v>
      </c>
      <c r="J10" s="116" t="str">
        <f t="shared" si="0"/>
        <v>__2G1CK</v>
      </c>
      <c r="K10" s="116" t="str">
        <f t="shared" si="0"/>
        <v>__2G2CK</v>
      </c>
    </row>
    <row r="11" spans="1:15" s="115" customFormat="1" x14ac:dyDescent="0.2">
      <c r="A11" s="115">
        <v>8</v>
      </c>
      <c r="B11" s="116" t="s">
        <v>542</v>
      </c>
      <c r="C11" s="116" t="s">
        <v>546</v>
      </c>
      <c r="D11" s="116" t="str">
        <f t="shared" si="1"/>
        <v>__2H1TJ</v>
      </c>
      <c r="E11" s="116" t="str">
        <f t="shared" si="0"/>
        <v>__2H2TJ</v>
      </c>
      <c r="F11" s="116" t="str">
        <f t="shared" si="0"/>
        <v>__2H1TK</v>
      </c>
      <c r="G11" s="116" t="str">
        <f t="shared" si="0"/>
        <v>__2H2TK</v>
      </c>
      <c r="H11" s="116" t="str">
        <f t="shared" si="0"/>
        <v>__2H1CJ</v>
      </c>
      <c r="I11" s="116" t="str">
        <f t="shared" si="0"/>
        <v>__2H2CJ</v>
      </c>
      <c r="J11" s="116" t="str">
        <f t="shared" si="0"/>
        <v>__2H1CK</v>
      </c>
      <c r="K11" s="116" t="str">
        <f t="shared" si="0"/>
        <v>__2H2CK</v>
      </c>
      <c r="L11" s="116" t="str">
        <f t="shared" si="0"/>
        <v>__2H12TJ</v>
      </c>
      <c r="M11" s="116" t="str">
        <f t="shared" si="0"/>
        <v>__2H12TK</v>
      </c>
      <c r="N11" s="116" t="str">
        <f t="shared" si="0"/>
        <v>__2H12CJ</v>
      </c>
      <c r="O11" s="116" t="str">
        <f t="shared" si="0"/>
        <v>__2H12CK</v>
      </c>
    </row>
    <row r="12" spans="1:15" s="115" customFormat="1" x14ac:dyDescent="0.2">
      <c r="A12" s="115">
        <v>9</v>
      </c>
      <c r="B12" s="116" t="s">
        <v>542</v>
      </c>
      <c r="C12" s="116" t="s">
        <v>418</v>
      </c>
      <c r="D12" s="116" t="str">
        <f t="shared" si="1"/>
        <v>__2I1TJ</v>
      </c>
      <c r="E12" s="116" t="str">
        <f t="shared" si="0"/>
        <v>__2I2TJ</v>
      </c>
      <c r="F12" s="116" t="str">
        <f t="shared" si="0"/>
        <v>__2I1TK</v>
      </c>
      <c r="G12" s="116" t="str">
        <f t="shared" si="0"/>
        <v>__2I2TK</v>
      </c>
      <c r="H12" s="116" t="str">
        <f t="shared" si="0"/>
        <v>__2I1CJ</v>
      </c>
      <c r="I12" s="116" t="str">
        <f t="shared" si="0"/>
        <v>__2I2CJ</v>
      </c>
      <c r="J12" s="116" t="str">
        <f t="shared" si="0"/>
        <v>__2I1CK</v>
      </c>
      <c r="K12" s="116" t="str">
        <f t="shared" si="0"/>
        <v>__2I2CK</v>
      </c>
    </row>
    <row r="13" spans="1:15" s="115" customFormat="1" x14ac:dyDescent="0.2">
      <c r="A13" s="115">
        <v>10</v>
      </c>
      <c r="B13" s="116" t="s">
        <v>542</v>
      </c>
      <c r="C13" s="116" t="s">
        <v>421</v>
      </c>
      <c r="D13" s="116" t="str">
        <f t="shared" si="1"/>
        <v>__2J1TJ</v>
      </c>
      <c r="E13" s="116" t="str">
        <f t="shared" si="0"/>
        <v>__2J2TJ</v>
      </c>
      <c r="F13" s="116" t="str">
        <f t="shared" si="0"/>
        <v>__2J1TK</v>
      </c>
      <c r="G13" s="116" t="str">
        <f t="shared" si="0"/>
        <v>__2J2TK</v>
      </c>
      <c r="H13" s="116" t="str">
        <f t="shared" si="0"/>
        <v>__2J1CJ</v>
      </c>
      <c r="I13" s="116" t="str">
        <f t="shared" si="0"/>
        <v>__2J2CJ</v>
      </c>
      <c r="J13" s="116" t="str">
        <f t="shared" si="0"/>
        <v>__2J1CK</v>
      </c>
      <c r="K13" s="116" t="str">
        <f t="shared" si="0"/>
        <v>__2J2CK</v>
      </c>
    </row>
    <row r="14" spans="1:15" s="115" customFormat="1" x14ac:dyDescent="0.2">
      <c r="A14" s="115">
        <v>11</v>
      </c>
      <c r="B14" s="116" t="s">
        <v>542</v>
      </c>
      <c r="C14" s="116" t="s">
        <v>547</v>
      </c>
      <c r="D14" s="116" t="str">
        <f t="shared" si="1"/>
        <v>__2K1TJ</v>
      </c>
      <c r="E14" s="116" t="str">
        <f t="shared" si="0"/>
        <v>__2K2TJ</v>
      </c>
      <c r="F14" s="116" t="str">
        <f t="shared" si="0"/>
        <v>__2K1TK</v>
      </c>
      <c r="G14" s="116" t="str">
        <f t="shared" si="0"/>
        <v>__2K2TK</v>
      </c>
      <c r="H14" s="116" t="str">
        <f t="shared" si="0"/>
        <v>__2K1CJ</v>
      </c>
      <c r="I14" s="116" t="str">
        <f t="shared" si="0"/>
        <v>__2K2CJ</v>
      </c>
      <c r="J14" s="116" t="str">
        <f t="shared" si="0"/>
        <v>__2K1CK</v>
      </c>
      <c r="K14" s="116" t="str">
        <f t="shared" si="0"/>
        <v>__2K2CK</v>
      </c>
    </row>
    <row r="15" spans="1:15" s="115" customFormat="1" x14ac:dyDescent="0.2">
      <c r="A15" s="115">
        <v>12</v>
      </c>
      <c r="B15" s="116" t="s">
        <v>542</v>
      </c>
      <c r="C15" s="116" t="s">
        <v>548</v>
      </c>
      <c r="D15" s="116" t="str">
        <f t="shared" si="1"/>
        <v>__2L1TJ</v>
      </c>
      <c r="E15" s="116" t="str">
        <f t="shared" si="0"/>
        <v>__2L2TJ</v>
      </c>
      <c r="F15" s="116" t="str">
        <f t="shared" si="0"/>
        <v>__2L1TK</v>
      </c>
      <c r="G15" s="116" t="str">
        <f t="shared" si="0"/>
        <v>__2L2TK</v>
      </c>
      <c r="H15" s="116" t="str">
        <f t="shared" si="0"/>
        <v>__2L1CJ</v>
      </c>
      <c r="I15" s="116" t="str">
        <f t="shared" si="0"/>
        <v>__2L2CJ</v>
      </c>
      <c r="J15" s="116" t="str">
        <f t="shared" si="0"/>
        <v>__2L1CK</v>
      </c>
      <c r="K15" s="116" t="str">
        <f t="shared" si="0"/>
        <v>__2L2CK</v>
      </c>
    </row>
    <row r="16" spans="1:15" s="115" customFormat="1" x14ac:dyDescent="0.2">
      <c r="A16" s="115">
        <v>13</v>
      </c>
      <c r="B16" s="116" t="s">
        <v>542</v>
      </c>
      <c r="C16" s="116" t="s">
        <v>549</v>
      </c>
      <c r="D16" s="116" t="str">
        <f t="shared" si="1"/>
        <v>__2M1TJ</v>
      </c>
      <c r="E16" s="116" t="str">
        <f t="shared" si="0"/>
        <v>__2M2TJ</v>
      </c>
      <c r="F16" s="116" t="str">
        <f t="shared" si="0"/>
        <v>__2M1TK</v>
      </c>
      <c r="G16" s="116" t="str">
        <f t="shared" si="0"/>
        <v>__2M2TK</v>
      </c>
      <c r="H16" s="116" t="str">
        <f t="shared" si="0"/>
        <v>__2M1CJ</v>
      </c>
      <c r="I16" s="116" t="str">
        <f t="shared" si="0"/>
        <v>__2M2CJ</v>
      </c>
      <c r="J16" s="116" t="str">
        <f t="shared" si="0"/>
        <v>__2M1CK</v>
      </c>
      <c r="K16" s="116" t="str">
        <f t="shared" si="0"/>
        <v>__2M2CK</v>
      </c>
    </row>
    <row r="17" spans="1:15" x14ac:dyDescent="0.2">
      <c r="A17" s="115">
        <v>14</v>
      </c>
      <c r="B17" s="117" t="s">
        <v>564</v>
      </c>
      <c r="C17" s="117" t="s">
        <v>543</v>
      </c>
      <c r="D17" s="117" t="str">
        <f t="shared" si="1"/>
        <v>__3A1TJ</v>
      </c>
      <c r="E17" s="117" t="str">
        <f t="shared" si="0"/>
        <v>__3A2TJ</v>
      </c>
      <c r="F17" s="117" t="str">
        <f t="shared" si="0"/>
        <v>__3A1TK</v>
      </c>
      <c r="G17" s="117" t="str">
        <f t="shared" si="0"/>
        <v>__3A2TK</v>
      </c>
      <c r="H17" s="117" t="str">
        <f t="shared" si="0"/>
        <v>__3A1CJ</v>
      </c>
      <c r="I17" s="117" t="str">
        <f t="shared" si="0"/>
        <v>__3A2CJ</v>
      </c>
      <c r="J17" s="117" t="str">
        <f t="shared" si="0"/>
        <v>__3A1CK</v>
      </c>
      <c r="K17" s="117" t="str">
        <f t="shared" si="0"/>
        <v>__3A2CK</v>
      </c>
      <c r="L17" s="117" t="str">
        <f t="shared" si="0"/>
        <v>__3A12TJ</v>
      </c>
      <c r="M17" s="117" t="str">
        <f t="shared" si="0"/>
        <v>__3A12TK</v>
      </c>
      <c r="N17" s="117" t="str">
        <f t="shared" si="0"/>
        <v>__3A12CJ</v>
      </c>
      <c r="O17" s="117" t="str">
        <f t="shared" si="0"/>
        <v>__3A12CK</v>
      </c>
    </row>
    <row r="18" spans="1:15" x14ac:dyDescent="0.2">
      <c r="A18" s="115">
        <v>15</v>
      </c>
      <c r="B18" s="117" t="s">
        <v>564</v>
      </c>
      <c r="C18" s="117" t="s">
        <v>415</v>
      </c>
      <c r="D18" s="117" t="str">
        <f t="shared" si="1"/>
        <v>__3B1TJ</v>
      </c>
      <c r="E18" s="117" t="str">
        <f t="shared" si="0"/>
        <v>__3B2TJ</v>
      </c>
      <c r="F18" s="117" t="str">
        <f t="shared" si="0"/>
        <v>__3B1TK</v>
      </c>
      <c r="G18" s="117" t="str">
        <f t="shared" si="0"/>
        <v>__3B2TK</v>
      </c>
      <c r="H18" s="117" t="str">
        <f t="shared" si="0"/>
        <v>__3B1CJ</v>
      </c>
      <c r="I18" s="117" t="str">
        <f t="shared" si="0"/>
        <v>__3B2CJ</v>
      </c>
      <c r="J18" s="117" t="str">
        <f t="shared" si="0"/>
        <v>__3B1CK</v>
      </c>
      <c r="K18" s="117" t="str">
        <f t="shared" si="0"/>
        <v>__3B2CK</v>
      </c>
      <c r="L18" s="117" t="str">
        <f t="shared" si="0"/>
        <v>__3B12TJ</v>
      </c>
      <c r="M18" s="117" t="str">
        <f t="shared" si="0"/>
        <v>__3B12TK</v>
      </c>
      <c r="N18" s="117" t="str">
        <f t="shared" si="0"/>
        <v>__3B12CJ</v>
      </c>
      <c r="O18" s="117" t="str">
        <f t="shared" si="0"/>
        <v>__3B12CK</v>
      </c>
    </row>
    <row r="19" spans="1:15" x14ac:dyDescent="0.2">
      <c r="A19" s="115">
        <v>16</v>
      </c>
      <c r="B19" s="117" t="s">
        <v>564</v>
      </c>
      <c r="C19" s="117" t="s">
        <v>416</v>
      </c>
      <c r="D19" s="117" t="str">
        <f t="shared" si="1"/>
        <v>__3C1TJ</v>
      </c>
      <c r="E19" s="117" t="str">
        <f t="shared" si="0"/>
        <v>__3C2TJ</v>
      </c>
      <c r="F19" s="117" t="str">
        <f t="shared" si="0"/>
        <v>__3C1TK</v>
      </c>
      <c r="G19" s="117" t="str">
        <f t="shared" si="0"/>
        <v>__3C2TK</v>
      </c>
      <c r="H19" s="117" t="str">
        <f t="shared" si="0"/>
        <v>__3C1CJ</v>
      </c>
      <c r="I19" s="117" t="str">
        <f t="shared" si="0"/>
        <v>__3C2CJ</v>
      </c>
      <c r="J19" s="117" t="str">
        <f t="shared" si="0"/>
        <v>__3C1CK</v>
      </c>
      <c r="K19" s="117" t="str">
        <f t="shared" si="0"/>
        <v>__3C2CK</v>
      </c>
      <c r="L19" s="117" t="str">
        <f t="shared" si="0"/>
        <v>__3C12TJ</v>
      </c>
      <c r="M19" s="117" t="str">
        <f t="shared" si="0"/>
        <v>__3C12TK</v>
      </c>
      <c r="N19" s="117" t="str">
        <f t="shared" si="0"/>
        <v>__3C12CJ</v>
      </c>
      <c r="O19" s="117" t="str">
        <f t="shared" si="0"/>
        <v>__3C12CK</v>
      </c>
    </row>
    <row r="20" spans="1:15" x14ac:dyDescent="0.2">
      <c r="A20" s="115">
        <v>17</v>
      </c>
      <c r="B20" s="117" t="s">
        <v>564</v>
      </c>
      <c r="C20" s="117" t="s">
        <v>544</v>
      </c>
      <c r="D20" s="117" t="str">
        <f t="shared" si="1"/>
        <v>__3D1TJ</v>
      </c>
      <c r="E20" s="117" t="str">
        <f t="shared" si="1"/>
        <v>__3D2TJ</v>
      </c>
      <c r="F20" s="117" t="str">
        <f t="shared" si="1"/>
        <v>__3D1TK</v>
      </c>
      <c r="G20" s="117" t="str">
        <f t="shared" si="1"/>
        <v>__3D2TK</v>
      </c>
      <c r="H20" s="117" t="str">
        <f t="shared" si="1"/>
        <v>__3D1CJ</v>
      </c>
      <c r="I20" s="117" t="str">
        <f t="shared" si="1"/>
        <v>__3D2CJ</v>
      </c>
      <c r="J20" s="117" t="str">
        <f t="shared" si="1"/>
        <v>__3D1CK</v>
      </c>
      <c r="K20" s="117" t="str">
        <f t="shared" si="1"/>
        <v>__3D2CK</v>
      </c>
      <c r="L20" s="117" t="str">
        <f t="shared" si="1"/>
        <v>__3D12TJ</v>
      </c>
      <c r="M20" s="117" t="str">
        <f t="shared" si="1"/>
        <v>__3D12TK</v>
      </c>
      <c r="N20" s="117" t="str">
        <f t="shared" si="1"/>
        <v>__3D12CJ</v>
      </c>
      <c r="O20" s="117" t="str">
        <f t="shared" si="1"/>
        <v>__3D12CK</v>
      </c>
    </row>
    <row r="21" spans="1:15" x14ac:dyDescent="0.2">
      <c r="A21" s="115">
        <v>18</v>
      </c>
      <c r="B21" s="117" t="s">
        <v>564</v>
      </c>
      <c r="C21" s="117" t="s">
        <v>545</v>
      </c>
      <c r="D21" s="117" t="str">
        <f t="shared" ref="D21:O38" si="2">CONCATENATE($B21,$C21,D$3)</f>
        <v>__3E1TJ</v>
      </c>
      <c r="E21" s="117" t="str">
        <f t="shared" si="2"/>
        <v>__3E2TJ</v>
      </c>
      <c r="F21" s="117" t="str">
        <f t="shared" si="2"/>
        <v>__3E1TK</v>
      </c>
      <c r="G21" s="117" t="str">
        <f t="shared" si="2"/>
        <v>__3E2TK</v>
      </c>
      <c r="H21" s="117" t="str">
        <f t="shared" si="2"/>
        <v>__3E1CJ</v>
      </c>
      <c r="I21" s="117" t="str">
        <f t="shared" si="2"/>
        <v>__3E2CJ</v>
      </c>
      <c r="J21" s="117" t="str">
        <f t="shared" si="2"/>
        <v>__3E1CK</v>
      </c>
      <c r="K21" s="117" t="str">
        <f t="shared" si="2"/>
        <v>__3E2CK</v>
      </c>
      <c r="L21" s="117" t="str">
        <f t="shared" si="2"/>
        <v>__3E12TJ</v>
      </c>
      <c r="M21" s="117" t="str">
        <f t="shared" si="2"/>
        <v>__3E12TK</v>
      </c>
      <c r="N21" s="117" t="str">
        <f t="shared" si="2"/>
        <v>__3E12CJ</v>
      </c>
      <c r="O21" s="117" t="str">
        <f t="shared" si="2"/>
        <v>__3E12CK</v>
      </c>
    </row>
    <row r="22" spans="1:15" x14ac:dyDescent="0.2">
      <c r="A22" s="115">
        <v>19</v>
      </c>
      <c r="B22" s="117" t="s">
        <v>564</v>
      </c>
      <c r="C22" s="117" t="s">
        <v>412</v>
      </c>
      <c r="D22" s="117" t="str">
        <f t="shared" si="2"/>
        <v>__3F1TJ</v>
      </c>
      <c r="E22" s="117" t="str">
        <f t="shared" si="2"/>
        <v>__3F2TJ</v>
      </c>
      <c r="F22" s="117" t="str">
        <f t="shared" si="2"/>
        <v>__3F1TK</v>
      </c>
      <c r="G22" s="117" t="str">
        <f t="shared" si="2"/>
        <v>__3F2TK</v>
      </c>
      <c r="H22" s="117" t="str">
        <f t="shared" si="2"/>
        <v>__3F1CJ</v>
      </c>
      <c r="I22" s="117" t="str">
        <f t="shared" si="2"/>
        <v>__3F2CJ</v>
      </c>
      <c r="J22" s="117" t="str">
        <f t="shared" si="2"/>
        <v>__3F1CK</v>
      </c>
      <c r="K22" s="117" t="str">
        <f t="shared" si="2"/>
        <v>__3F2CK</v>
      </c>
      <c r="L22" s="117" t="str">
        <f t="shared" si="2"/>
        <v>__3F12TJ</v>
      </c>
      <c r="M22" s="117" t="str">
        <f t="shared" si="2"/>
        <v>__3F12TK</v>
      </c>
      <c r="N22" s="117" t="str">
        <f t="shared" si="2"/>
        <v>__3F12CJ</v>
      </c>
      <c r="O22" s="117" t="str">
        <f t="shared" si="2"/>
        <v>__3F12CK</v>
      </c>
    </row>
    <row r="23" spans="1:15" x14ac:dyDescent="0.2">
      <c r="A23" s="115">
        <v>20</v>
      </c>
      <c r="B23" s="117" t="s">
        <v>564</v>
      </c>
      <c r="C23" s="117" t="s">
        <v>417</v>
      </c>
      <c r="D23" s="117" t="str">
        <f t="shared" si="2"/>
        <v>__3G1TJ</v>
      </c>
      <c r="E23" s="117" t="str">
        <f t="shared" si="2"/>
        <v>__3G2TJ</v>
      </c>
      <c r="F23" s="117" t="str">
        <f t="shared" si="2"/>
        <v>__3G1TK</v>
      </c>
      <c r="G23" s="117" t="str">
        <f t="shared" si="2"/>
        <v>__3G2TK</v>
      </c>
      <c r="H23" s="117" t="str">
        <f t="shared" si="2"/>
        <v>__3G1CJ</v>
      </c>
      <c r="I23" s="117" t="str">
        <f t="shared" si="2"/>
        <v>__3G2CJ</v>
      </c>
      <c r="J23" s="117" t="str">
        <f t="shared" si="2"/>
        <v>__3G1CK</v>
      </c>
      <c r="K23" s="117" t="str">
        <f t="shared" si="2"/>
        <v>__3G2CK</v>
      </c>
      <c r="L23" s="117" t="str">
        <f t="shared" si="2"/>
        <v>__3G12TJ</v>
      </c>
      <c r="M23" s="117" t="str">
        <f t="shared" si="2"/>
        <v>__3G12TK</v>
      </c>
      <c r="N23" s="117" t="str">
        <f t="shared" si="2"/>
        <v>__3G12CJ</v>
      </c>
      <c r="O23" s="117" t="str">
        <f t="shared" si="2"/>
        <v>__3G12CK</v>
      </c>
    </row>
    <row r="24" spans="1:15" x14ac:dyDescent="0.2">
      <c r="A24" s="115">
        <v>21</v>
      </c>
      <c r="B24" s="117" t="s">
        <v>564</v>
      </c>
      <c r="C24" s="117" t="s">
        <v>546</v>
      </c>
      <c r="D24" s="117" t="str">
        <f t="shared" si="2"/>
        <v>__3H1TJ</v>
      </c>
      <c r="E24" s="117" t="str">
        <f t="shared" si="2"/>
        <v>__3H2TJ</v>
      </c>
      <c r="F24" s="117" t="str">
        <f t="shared" si="2"/>
        <v>__3H1TK</v>
      </c>
      <c r="G24" s="117" t="str">
        <f t="shared" si="2"/>
        <v>__3H2TK</v>
      </c>
      <c r="H24" s="117" t="str">
        <f t="shared" si="2"/>
        <v>__3H1CJ</v>
      </c>
      <c r="I24" s="117" t="str">
        <f t="shared" si="2"/>
        <v>__3H2CJ</v>
      </c>
      <c r="J24" s="117" t="str">
        <f t="shared" si="2"/>
        <v>__3H1CK</v>
      </c>
      <c r="K24" s="117" t="str">
        <f t="shared" si="2"/>
        <v>__3H2CK</v>
      </c>
      <c r="L24" s="117" t="str">
        <f t="shared" si="2"/>
        <v>__3H12TJ</v>
      </c>
      <c r="M24" s="117" t="str">
        <f t="shared" si="2"/>
        <v>__3H12TK</v>
      </c>
      <c r="N24" s="117" t="str">
        <f t="shared" si="2"/>
        <v>__3H12CJ</v>
      </c>
      <c r="O24" s="117" t="str">
        <f t="shared" si="2"/>
        <v>__3H12CK</v>
      </c>
    </row>
    <row r="25" spans="1:15" x14ac:dyDescent="0.2">
      <c r="A25" s="115">
        <v>22</v>
      </c>
      <c r="B25" s="117" t="s">
        <v>564</v>
      </c>
      <c r="C25" s="117" t="s">
        <v>418</v>
      </c>
      <c r="D25" s="117" t="str">
        <f t="shared" si="2"/>
        <v>__3I1TJ</v>
      </c>
      <c r="E25" s="117" t="str">
        <f t="shared" si="2"/>
        <v>__3I2TJ</v>
      </c>
      <c r="F25" s="117" t="str">
        <f t="shared" si="2"/>
        <v>__3I1TK</v>
      </c>
      <c r="G25" s="117" t="str">
        <f t="shared" si="2"/>
        <v>__3I2TK</v>
      </c>
      <c r="H25" s="117" t="str">
        <f t="shared" si="2"/>
        <v>__3I1CJ</v>
      </c>
      <c r="I25" s="117" t="str">
        <f t="shared" si="2"/>
        <v>__3I2CJ</v>
      </c>
      <c r="J25" s="117" t="str">
        <f t="shared" si="2"/>
        <v>__3I1CK</v>
      </c>
      <c r="K25" s="117" t="str">
        <f t="shared" si="2"/>
        <v>__3I2CK</v>
      </c>
      <c r="L25" s="117" t="str">
        <f t="shared" si="2"/>
        <v>__3I12TJ</v>
      </c>
      <c r="M25" s="117" t="str">
        <f t="shared" si="2"/>
        <v>__3I12TK</v>
      </c>
      <c r="N25" s="117" t="str">
        <f t="shared" si="2"/>
        <v>__3I12CJ</v>
      </c>
      <c r="O25" s="117" t="str">
        <f t="shared" si="2"/>
        <v>__3I12CK</v>
      </c>
    </row>
    <row r="26" spans="1:15" x14ac:dyDescent="0.2">
      <c r="A26" s="115">
        <v>23</v>
      </c>
      <c r="B26" s="118" t="s">
        <v>565</v>
      </c>
      <c r="C26" s="118" t="s">
        <v>543</v>
      </c>
      <c r="D26" s="118" t="str">
        <f t="shared" si="2"/>
        <v>__4A1TJ</v>
      </c>
      <c r="E26" s="118" t="str">
        <f t="shared" si="2"/>
        <v>__4A2TJ</v>
      </c>
      <c r="F26" s="118" t="str">
        <f t="shared" si="2"/>
        <v>__4A1TK</v>
      </c>
      <c r="G26" s="118" t="str">
        <f t="shared" si="2"/>
        <v>__4A2TK</v>
      </c>
      <c r="H26" s="118" t="str">
        <f t="shared" si="2"/>
        <v>__4A1CJ</v>
      </c>
      <c r="I26" s="118" t="str">
        <f t="shared" si="2"/>
        <v>__4A2CJ</v>
      </c>
      <c r="J26" s="118" t="str">
        <f t="shared" si="2"/>
        <v>__4A1CK</v>
      </c>
      <c r="K26" s="118" t="str">
        <f t="shared" si="2"/>
        <v>__4A2CK</v>
      </c>
    </row>
    <row r="27" spans="1:15" x14ac:dyDescent="0.2">
      <c r="A27" s="115">
        <v>24</v>
      </c>
      <c r="B27" s="118" t="s">
        <v>565</v>
      </c>
      <c r="C27" s="118" t="s">
        <v>415</v>
      </c>
      <c r="D27" s="118" t="str">
        <f t="shared" si="2"/>
        <v>__4B1TJ</v>
      </c>
      <c r="E27" s="118" t="str">
        <f t="shared" si="2"/>
        <v>__4B2TJ</v>
      </c>
      <c r="F27" s="118" t="str">
        <f t="shared" si="2"/>
        <v>__4B1TK</v>
      </c>
      <c r="G27" s="118" t="str">
        <f t="shared" si="2"/>
        <v>__4B2TK</v>
      </c>
      <c r="H27" s="118" t="str">
        <f t="shared" si="2"/>
        <v>__4B1CJ</v>
      </c>
      <c r="I27" s="118" t="str">
        <f t="shared" si="2"/>
        <v>__4B2CJ</v>
      </c>
      <c r="J27" s="118" t="str">
        <f t="shared" si="2"/>
        <v>__4B1CK</v>
      </c>
      <c r="K27" s="118" t="str">
        <f t="shared" si="2"/>
        <v>__4B2CK</v>
      </c>
    </row>
    <row r="28" spans="1:15" x14ac:dyDescent="0.2">
      <c r="A28" s="115">
        <v>25</v>
      </c>
      <c r="B28" s="118" t="s">
        <v>565</v>
      </c>
      <c r="C28" s="118" t="s">
        <v>416</v>
      </c>
      <c r="D28" s="118" t="str">
        <f t="shared" si="2"/>
        <v>__4C1TJ</v>
      </c>
      <c r="E28" s="118" t="str">
        <f t="shared" si="2"/>
        <v>__4C2TJ</v>
      </c>
      <c r="F28" s="118" t="str">
        <f t="shared" si="2"/>
        <v>__4C1TK</v>
      </c>
      <c r="G28" s="118" t="str">
        <f t="shared" si="2"/>
        <v>__4C2TK</v>
      </c>
      <c r="H28" s="118" t="str">
        <f t="shared" si="2"/>
        <v>__4C1CJ</v>
      </c>
      <c r="I28" s="118" t="str">
        <f t="shared" si="2"/>
        <v>__4C2CJ</v>
      </c>
      <c r="J28" s="118" t="str">
        <f t="shared" si="2"/>
        <v>__4C1CK</v>
      </c>
      <c r="K28" s="118" t="str">
        <f t="shared" si="2"/>
        <v>__4C2CK</v>
      </c>
    </row>
    <row r="29" spans="1:15" x14ac:dyDescent="0.2">
      <c r="A29" s="115">
        <v>26</v>
      </c>
      <c r="B29" s="118" t="s">
        <v>565</v>
      </c>
      <c r="C29" s="118" t="s">
        <v>544</v>
      </c>
      <c r="D29" s="118" t="str">
        <f t="shared" si="2"/>
        <v>__4D1TJ</v>
      </c>
      <c r="E29" s="118" t="str">
        <f t="shared" si="2"/>
        <v>__4D2TJ</v>
      </c>
      <c r="F29" s="118" t="str">
        <f t="shared" si="2"/>
        <v>__4D1TK</v>
      </c>
      <c r="G29" s="118" t="str">
        <f t="shared" si="2"/>
        <v>__4D2TK</v>
      </c>
      <c r="H29" s="118" t="str">
        <f t="shared" si="2"/>
        <v>__4D1CJ</v>
      </c>
      <c r="I29" s="118" t="str">
        <f t="shared" si="2"/>
        <v>__4D2CJ</v>
      </c>
      <c r="J29" s="118" t="str">
        <f t="shared" si="2"/>
        <v>__4D1CK</v>
      </c>
      <c r="K29" s="118" t="str">
        <f t="shared" si="2"/>
        <v>__4D2CK</v>
      </c>
    </row>
    <row r="30" spans="1:15" x14ac:dyDescent="0.2">
      <c r="A30" s="115">
        <v>27</v>
      </c>
      <c r="B30" s="118" t="s">
        <v>565</v>
      </c>
      <c r="C30" s="118" t="s">
        <v>545</v>
      </c>
      <c r="D30" s="118" t="str">
        <f t="shared" si="2"/>
        <v>__4E1TJ</v>
      </c>
      <c r="E30" s="118" t="str">
        <f t="shared" si="2"/>
        <v>__4E2TJ</v>
      </c>
      <c r="F30" s="118" t="str">
        <f t="shared" si="2"/>
        <v>__4E1TK</v>
      </c>
      <c r="G30" s="118" t="str">
        <f t="shared" si="2"/>
        <v>__4E2TK</v>
      </c>
      <c r="H30" s="118" t="str">
        <f t="shared" si="2"/>
        <v>__4E1CJ</v>
      </c>
      <c r="I30" s="118" t="str">
        <f t="shared" si="2"/>
        <v>__4E2CJ</v>
      </c>
      <c r="J30" s="118" t="str">
        <f t="shared" si="2"/>
        <v>__4E1CK</v>
      </c>
      <c r="K30" s="118" t="str">
        <f t="shared" si="2"/>
        <v>__4E2CK</v>
      </c>
    </row>
    <row r="31" spans="1:15" x14ac:dyDescent="0.2">
      <c r="A31" s="115"/>
      <c r="B31" s="118" t="s">
        <v>565</v>
      </c>
      <c r="C31" s="118" t="s">
        <v>412</v>
      </c>
      <c r="D31" s="118" t="str">
        <f t="shared" si="2"/>
        <v>__4F1TJ</v>
      </c>
      <c r="E31" s="118" t="str">
        <f t="shared" si="2"/>
        <v>__4F2TJ</v>
      </c>
      <c r="F31" s="118" t="str">
        <f t="shared" si="2"/>
        <v>__4F1TK</v>
      </c>
      <c r="G31" s="118" t="str">
        <f t="shared" si="2"/>
        <v>__4F2TK</v>
      </c>
      <c r="H31" s="118" t="str">
        <f t="shared" si="2"/>
        <v>__4F1CJ</v>
      </c>
      <c r="I31" s="118" t="str">
        <f t="shared" si="2"/>
        <v>__4F2CJ</v>
      </c>
      <c r="J31" s="118" t="str">
        <f t="shared" si="2"/>
        <v>__4F1CK</v>
      </c>
      <c r="K31" s="118" t="str">
        <f t="shared" si="2"/>
        <v>__4F2CK</v>
      </c>
    </row>
    <row r="32" spans="1:15" x14ac:dyDescent="0.2">
      <c r="A32" s="115"/>
      <c r="B32" s="118" t="s">
        <v>565</v>
      </c>
      <c r="C32" s="118" t="s">
        <v>417</v>
      </c>
      <c r="D32" s="118" t="str">
        <f t="shared" si="2"/>
        <v>__4G1TJ</v>
      </c>
      <c r="E32" s="118" t="str">
        <f t="shared" si="2"/>
        <v>__4G2TJ</v>
      </c>
      <c r="F32" s="118" t="str">
        <f t="shared" si="2"/>
        <v>__4G1TK</v>
      </c>
      <c r="G32" s="118" t="str">
        <f t="shared" si="2"/>
        <v>__4G2TK</v>
      </c>
      <c r="H32" s="118" t="str">
        <f t="shared" si="2"/>
        <v>__4G1CJ</v>
      </c>
      <c r="I32" s="118" t="str">
        <f t="shared" si="2"/>
        <v>__4G2CJ</v>
      </c>
      <c r="J32" s="118" t="str">
        <f t="shared" si="2"/>
        <v>__4G1CK</v>
      </c>
      <c r="K32" s="118" t="str">
        <f t="shared" si="2"/>
        <v>__4G2CK</v>
      </c>
    </row>
    <row r="33" spans="1:11" x14ac:dyDescent="0.2">
      <c r="A33" s="115">
        <v>28</v>
      </c>
      <c r="B33" s="119" t="s">
        <v>566</v>
      </c>
      <c r="C33" s="119" t="s">
        <v>543</v>
      </c>
      <c r="D33" s="119" t="str">
        <f t="shared" si="2"/>
        <v>__5A1TJ</v>
      </c>
      <c r="E33" s="119" t="str">
        <f t="shared" si="2"/>
        <v>__5A2TJ</v>
      </c>
      <c r="F33" s="119" t="str">
        <f t="shared" si="2"/>
        <v>__5A1TK</v>
      </c>
      <c r="G33" s="119" t="str">
        <f t="shared" si="2"/>
        <v>__5A2TK</v>
      </c>
      <c r="H33" s="119" t="str">
        <f t="shared" si="2"/>
        <v>__5A1CJ</v>
      </c>
      <c r="I33" s="119" t="str">
        <f t="shared" si="2"/>
        <v>__5A2CJ</v>
      </c>
      <c r="J33" s="119" t="str">
        <f t="shared" si="2"/>
        <v>__5A1CK</v>
      </c>
      <c r="K33" s="119" t="str">
        <f t="shared" si="2"/>
        <v>__5A2CK</v>
      </c>
    </row>
    <row r="34" spans="1:11" x14ac:dyDescent="0.2">
      <c r="A34" s="115">
        <v>29</v>
      </c>
      <c r="B34" s="119" t="s">
        <v>566</v>
      </c>
      <c r="C34" s="119" t="s">
        <v>415</v>
      </c>
      <c r="D34" s="119" t="str">
        <f t="shared" si="2"/>
        <v>__5B1TJ</v>
      </c>
      <c r="E34" s="119" t="str">
        <f t="shared" si="2"/>
        <v>__5B2TJ</v>
      </c>
      <c r="F34" s="119" t="str">
        <f t="shared" si="2"/>
        <v>__5B1TK</v>
      </c>
      <c r="G34" s="119" t="str">
        <f t="shared" si="2"/>
        <v>__5B2TK</v>
      </c>
      <c r="H34" s="119" t="str">
        <f t="shared" si="2"/>
        <v>__5B1CJ</v>
      </c>
      <c r="I34" s="119" t="str">
        <f t="shared" si="2"/>
        <v>__5B2CJ</v>
      </c>
      <c r="J34" s="119" t="str">
        <f t="shared" si="2"/>
        <v>__5B1CK</v>
      </c>
      <c r="K34" s="119" t="str">
        <f t="shared" si="2"/>
        <v>__5B2CK</v>
      </c>
    </row>
    <row r="35" spans="1:11" x14ac:dyDescent="0.2">
      <c r="A35" s="115">
        <v>30</v>
      </c>
      <c r="B35" s="119" t="s">
        <v>566</v>
      </c>
      <c r="C35" s="119" t="s">
        <v>416</v>
      </c>
      <c r="D35" s="119" t="str">
        <f t="shared" si="2"/>
        <v>__5C1TJ</v>
      </c>
      <c r="E35" s="119" t="str">
        <f t="shared" si="2"/>
        <v>__5C2TJ</v>
      </c>
      <c r="F35" s="119" t="str">
        <f t="shared" si="2"/>
        <v>__5C1TK</v>
      </c>
      <c r="G35" s="119" t="str">
        <f t="shared" si="2"/>
        <v>__5C2TK</v>
      </c>
      <c r="H35" s="119" t="str">
        <f t="shared" si="2"/>
        <v>__5C1CJ</v>
      </c>
      <c r="I35" s="119" t="str">
        <f t="shared" si="2"/>
        <v>__5C2CJ</v>
      </c>
      <c r="J35" s="119" t="str">
        <f t="shared" si="2"/>
        <v>__5C1CK</v>
      </c>
      <c r="K35" s="119" t="str">
        <f t="shared" si="2"/>
        <v>__5C2CK</v>
      </c>
    </row>
    <row r="36" spans="1:11" x14ac:dyDescent="0.2">
      <c r="A36" s="115">
        <v>31</v>
      </c>
      <c r="B36" s="119" t="s">
        <v>566</v>
      </c>
      <c r="C36" s="119" t="s">
        <v>544</v>
      </c>
      <c r="D36" s="119" t="str">
        <f t="shared" si="2"/>
        <v>__5D1TJ</v>
      </c>
      <c r="E36" s="119" t="str">
        <f t="shared" si="2"/>
        <v>__5D2TJ</v>
      </c>
      <c r="F36" s="119" t="str">
        <f t="shared" si="2"/>
        <v>__5D1TK</v>
      </c>
      <c r="G36" s="119" t="str">
        <f t="shared" si="2"/>
        <v>__5D2TK</v>
      </c>
      <c r="H36" s="119" t="str">
        <f t="shared" si="2"/>
        <v>__5D1CJ</v>
      </c>
      <c r="I36" s="119" t="str">
        <f t="shared" si="2"/>
        <v>__5D2CJ</v>
      </c>
      <c r="J36" s="119" t="str">
        <f t="shared" si="2"/>
        <v>__5D1CK</v>
      </c>
      <c r="K36" s="119" t="str">
        <f t="shared" si="2"/>
        <v>__5D2CK</v>
      </c>
    </row>
    <row r="37" spans="1:11" x14ac:dyDescent="0.2">
      <c r="A37" s="115">
        <v>32</v>
      </c>
      <c r="B37" s="119" t="s">
        <v>566</v>
      </c>
      <c r="C37" s="119" t="s">
        <v>545</v>
      </c>
      <c r="D37" s="119" t="str">
        <f t="shared" si="2"/>
        <v>__5E1TJ</v>
      </c>
      <c r="E37" s="119" t="str">
        <f t="shared" si="2"/>
        <v>__5E2TJ</v>
      </c>
      <c r="F37" s="119" t="str">
        <f t="shared" si="2"/>
        <v>__5E1TK</v>
      </c>
      <c r="G37" s="119" t="str">
        <f t="shared" si="2"/>
        <v>__5E2TK</v>
      </c>
      <c r="H37" s="119" t="str">
        <f t="shared" si="2"/>
        <v>__5E1CJ</v>
      </c>
      <c r="I37" s="119" t="str">
        <f t="shared" si="2"/>
        <v>__5E2CJ</v>
      </c>
      <c r="J37" s="119" t="str">
        <f t="shared" si="2"/>
        <v>__5E1CK</v>
      </c>
      <c r="K37" s="119" t="str">
        <f t="shared" si="2"/>
        <v>__5E2CK</v>
      </c>
    </row>
    <row r="38" spans="1:11" x14ac:dyDescent="0.2">
      <c r="A38" s="115">
        <v>33</v>
      </c>
      <c r="B38" s="119" t="s">
        <v>566</v>
      </c>
      <c r="C38" s="119" t="s">
        <v>412</v>
      </c>
      <c r="D38" s="119" t="str">
        <f t="shared" si="2"/>
        <v>__5F1TJ</v>
      </c>
      <c r="E38" s="119" t="str">
        <f t="shared" si="2"/>
        <v>__5F2TJ</v>
      </c>
      <c r="F38" s="119" t="str">
        <f t="shared" si="2"/>
        <v>__5F1TK</v>
      </c>
      <c r="G38" s="119" t="str">
        <f t="shared" si="2"/>
        <v>__5F2TK</v>
      </c>
      <c r="H38" s="119" t="str">
        <f t="shared" si="2"/>
        <v>__5F1CJ</v>
      </c>
      <c r="I38" s="119" t="str">
        <f t="shared" si="2"/>
        <v>__5F2CJ</v>
      </c>
      <c r="J38" s="119" t="str">
        <f t="shared" si="2"/>
        <v>__5F1CK</v>
      </c>
      <c r="K38" s="119" t="str">
        <f t="shared" si="2"/>
        <v>__5F2CK</v>
      </c>
    </row>
    <row r="39" spans="1:11" x14ac:dyDescent="0.2">
      <c r="A39" s="115">
        <v>34</v>
      </c>
      <c r="B39" s="119" t="s">
        <v>566</v>
      </c>
      <c r="C39" s="119" t="s">
        <v>417</v>
      </c>
      <c r="D39" s="119" t="str">
        <f t="shared" ref="D39:K43" si="3">CONCATENATE($B39,$C39,D$3)</f>
        <v>__5G1TJ</v>
      </c>
      <c r="E39" s="119" t="str">
        <f t="shared" si="3"/>
        <v>__5G2TJ</v>
      </c>
      <c r="F39" s="119" t="str">
        <f t="shared" si="3"/>
        <v>__5G1TK</v>
      </c>
      <c r="G39" s="119" t="str">
        <f t="shared" si="3"/>
        <v>__5G2TK</v>
      </c>
      <c r="H39" s="119" t="str">
        <f t="shared" si="3"/>
        <v>__5G1CJ</v>
      </c>
      <c r="I39" s="119" t="str">
        <f t="shared" si="3"/>
        <v>__5G2CJ</v>
      </c>
      <c r="J39" s="119" t="str">
        <f t="shared" si="3"/>
        <v>__5G1CK</v>
      </c>
      <c r="K39" s="119" t="str">
        <f t="shared" si="3"/>
        <v>__5G2CK</v>
      </c>
    </row>
    <row r="40" spans="1:11" x14ac:dyDescent="0.2">
      <c r="A40" s="115">
        <v>35</v>
      </c>
      <c r="B40" s="119" t="s">
        <v>566</v>
      </c>
      <c r="C40" s="119" t="s">
        <v>546</v>
      </c>
      <c r="D40" s="119" t="str">
        <f t="shared" si="3"/>
        <v>__5H1TJ</v>
      </c>
      <c r="E40" s="119" t="str">
        <f t="shared" si="3"/>
        <v>__5H2TJ</v>
      </c>
      <c r="F40" s="119" t="str">
        <f t="shared" si="3"/>
        <v>__5H1TK</v>
      </c>
      <c r="G40" s="119" t="str">
        <f t="shared" si="3"/>
        <v>__5H2TK</v>
      </c>
      <c r="H40" s="119" t="str">
        <f t="shared" si="3"/>
        <v>__5H1CJ</v>
      </c>
      <c r="I40" s="119" t="str">
        <f t="shared" si="3"/>
        <v>__5H2CJ</v>
      </c>
      <c r="J40" s="119" t="str">
        <f t="shared" si="3"/>
        <v>__5H1CK</v>
      </c>
      <c r="K40" s="119" t="str">
        <f t="shared" si="3"/>
        <v>__5H2CK</v>
      </c>
    </row>
    <row r="41" spans="1:11" x14ac:dyDescent="0.2">
      <c r="A41" s="115">
        <v>36</v>
      </c>
      <c r="B41" s="119" t="s">
        <v>566</v>
      </c>
      <c r="C41" s="119" t="s">
        <v>418</v>
      </c>
      <c r="D41" s="119" t="str">
        <f t="shared" si="3"/>
        <v>__5I1TJ</v>
      </c>
      <c r="E41" s="119" t="str">
        <f t="shared" si="3"/>
        <v>__5I2TJ</v>
      </c>
      <c r="F41" s="119" t="str">
        <f t="shared" si="3"/>
        <v>__5I1TK</v>
      </c>
      <c r="G41" s="119" t="str">
        <f t="shared" si="3"/>
        <v>__5I2TK</v>
      </c>
      <c r="H41" s="119" t="str">
        <f t="shared" si="3"/>
        <v>__5I1CJ</v>
      </c>
      <c r="I41" s="119" t="str">
        <f t="shared" si="3"/>
        <v>__5I2CJ</v>
      </c>
      <c r="J41" s="119" t="str">
        <f t="shared" si="3"/>
        <v>__5I1CK</v>
      </c>
      <c r="K41" s="119" t="str">
        <f t="shared" si="3"/>
        <v>__5I2CK</v>
      </c>
    </row>
    <row r="42" spans="1:11" x14ac:dyDescent="0.2">
      <c r="A42" s="115">
        <v>37</v>
      </c>
      <c r="B42" s="119" t="s">
        <v>566</v>
      </c>
      <c r="C42" s="119" t="s">
        <v>421</v>
      </c>
      <c r="D42" s="119" t="str">
        <f t="shared" si="3"/>
        <v>__5J1TJ</v>
      </c>
      <c r="E42" s="119" t="str">
        <f t="shared" si="3"/>
        <v>__5J2TJ</v>
      </c>
      <c r="F42" s="119" t="str">
        <f t="shared" si="3"/>
        <v>__5J1TK</v>
      </c>
      <c r="G42" s="119" t="str">
        <f t="shared" si="3"/>
        <v>__5J2TK</v>
      </c>
      <c r="H42" s="119" t="str">
        <f t="shared" si="3"/>
        <v>__5J1CJ</v>
      </c>
      <c r="I42" s="119" t="str">
        <f t="shared" si="3"/>
        <v>__5J2CJ</v>
      </c>
      <c r="J42" s="119" t="str">
        <f t="shared" si="3"/>
        <v>__5J1CK</v>
      </c>
      <c r="K42" s="119" t="str">
        <f t="shared" si="3"/>
        <v>__5J2CK</v>
      </c>
    </row>
    <row r="43" spans="1:11" x14ac:dyDescent="0.2">
      <c r="A43" s="115">
        <v>38</v>
      </c>
      <c r="B43" s="119" t="s">
        <v>566</v>
      </c>
      <c r="C43" s="119" t="s">
        <v>547</v>
      </c>
      <c r="D43" s="119" t="str">
        <f t="shared" si="3"/>
        <v>__5K1TJ</v>
      </c>
      <c r="E43" s="119" t="str">
        <f t="shared" si="3"/>
        <v>__5K2TJ</v>
      </c>
      <c r="F43" s="119" t="str">
        <f t="shared" si="3"/>
        <v>__5K1TK</v>
      </c>
      <c r="G43" s="119" t="str">
        <f t="shared" si="3"/>
        <v>__5K2TK</v>
      </c>
      <c r="H43" s="119" t="str">
        <f t="shared" si="3"/>
        <v>__5K1CJ</v>
      </c>
      <c r="I43" s="119" t="str">
        <f t="shared" si="3"/>
        <v>__5K2CJ</v>
      </c>
      <c r="J43" s="119" t="str">
        <f t="shared" si="3"/>
        <v>__5K1CK</v>
      </c>
      <c r="K43" s="119" t="str">
        <f t="shared" si="3"/>
        <v>__5K2CK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13"/>
  <sheetViews>
    <sheetView workbookViewId="0">
      <selection activeCell="C8" sqref="C8"/>
    </sheetView>
  </sheetViews>
  <sheetFormatPr baseColWidth="10" defaultColWidth="9.1640625" defaultRowHeight="15" x14ac:dyDescent="0.2"/>
  <cols>
    <col min="1" max="1" width="5.33203125" style="1" bestFit="1" customWidth="1"/>
    <col min="2" max="2" width="12.5" style="1" customWidth="1"/>
    <col min="3" max="3" width="44.5" style="1" customWidth="1"/>
    <col min="4" max="5" width="7.6640625" style="1" customWidth="1"/>
    <col min="6" max="6" width="11" style="1" customWidth="1"/>
    <col min="7" max="7" width="2.5" style="1" customWidth="1"/>
    <col min="8" max="8" width="14.83203125" style="1" customWidth="1"/>
    <col min="9" max="16384" width="9.1640625" style="1"/>
  </cols>
  <sheetData>
    <row r="1" spans="1:12" x14ac:dyDescent="0.2">
      <c r="A1" s="299" t="s">
        <v>149</v>
      </c>
      <c r="B1" s="26" t="s">
        <v>356</v>
      </c>
      <c r="C1" s="26"/>
      <c r="D1" s="27"/>
      <c r="E1" s="27"/>
      <c r="F1" s="27"/>
      <c r="G1" s="27"/>
    </row>
    <row r="2" spans="1:12" x14ac:dyDescent="0.2">
      <c r="B2" s="25" t="s">
        <v>149</v>
      </c>
      <c r="C2" s="26"/>
      <c r="D2" s="28"/>
      <c r="E2" s="28"/>
      <c r="F2" s="28"/>
      <c r="G2" s="28"/>
    </row>
    <row r="3" spans="1:12" x14ac:dyDescent="0.2">
      <c r="B3" s="315" t="str">
        <f>INDEX(TabRef2[],MATCH($B$2,TabRef2[Column3],0),4)</f>
        <v>Menduduki jabatan pimpinan pada lembaga pemerintahan/pejabat negara yang harus dibebaskan dari jabatan organiknya tiap semester</v>
      </c>
      <c r="C3" s="317"/>
      <c r="D3" s="317"/>
      <c r="E3" s="317"/>
      <c r="F3" s="317"/>
      <c r="G3" s="317"/>
    </row>
    <row r="5" spans="1:12" x14ac:dyDescent="0.2">
      <c r="B5" s="100" t="s">
        <v>411</v>
      </c>
      <c r="C5" s="100" t="s">
        <v>741</v>
      </c>
      <c r="D5" s="100" t="s">
        <v>405</v>
      </c>
      <c r="E5" s="100" t="s">
        <v>12</v>
      </c>
      <c r="F5" s="100" t="s">
        <v>372</v>
      </c>
      <c r="H5" s="243"/>
      <c r="I5" s="554" t="s">
        <v>420</v>
      </c>
      <c r="J5" s="556"/>
      <c r="K5" s="556"/>
      <c r="L5" s="555"/>
    </row>
    <row r="6" spans="1:12" ht="15" hidden="1" customHeight="1" x14ac:dyDescent="0.2">
      <c r="B6" s="50" t="s">
        <v>722</v>
      </c>
      <c r="C6" s="50" t="s">
        <v>723</v>
      </c>
      <c r="D6" s="50" t="s">
        <v>724</v>
      </c>
      <c r="E6" s="50" t="s">
        <v>725</v>
      </c>
      <c r="F6" s="50" t="s">
        <v>726</v>
      </c>
      <c r="H6" s="244"/>
      <c r="I6" s="273"/>
      <c r="J6" s="273"/>
      <c r="K6" s="273"/>
      <c r="L6" s="273"/>
    </row>
    <row r="7" spans="1:12" hidden="1" x14ac:dyDescent="0.2">
      <c r="B7" s="273"/>
      <c r="C7" s="251"/>
      <c r="D7" s="273">
        <f>IF(AND(ISTEXT(Tab4A[[#This Row],[Col1]]),ISTEXT(Tab4A[[#This Row],[Col2]])),1,0)</f>
        <v>0</v>
      </c>
      <c r="E7" s="273">
        <f>Tab4A[[#This Row],[Col3]]*VLOOKUP(VLOOKUP(A$1,TabRef3[],3,FALSE),TabRef4[],5,FALSE)</f>
        <v>0</v>
      </c>
      <c r="F7" s="273"/>
      <c r="H7" s="244"/>
      <c r="I7" s="273"/>
      <c r="J7" s="273"/>
      <c r="K7" s="273"/>
      <c r="L7" s="273"/>
    </row>
    <row r="8" spans="1:12" x14ac:dyDescent="0.2">
      <c r="B8" s="49"/>
      <c r="C8" s="22"/>
      <c r="D8" s="273">
        <f>IF(AND(ISTEXT(Tab4A[[#This Row],[Col1]]),ISTEXT(Tab4A[[#This Row],[Col2]])),1,0)</f>
        <v>0</v>
      </c>
      <c r="E8" s="273">
        <f>Tab4A[[#This Row],[Col3]]*VLOOKUP(VLOOKUP(A$1,TabRef3[],3,FALSE),TabRef4[],5,FALSE)</f>
        <v>0</v>
      </c>
      <c r="F8" s="49" t="s">
        <v>370</v>
      </c>
      <c r="H8" s="244"/>
      <c r="I8" s="552" t="s">
        <v>401</v>
      </c>
      <c r="J8" s="552"/>
      <c r="K8" s="552" t="s">
        <v>402</v>
      </c>
      <c r="L8" s="552"/>
    </row>
    <row r="9" spans="1:12" x14ac:dyDescent="0.2">
      <c r="H9" s="245"/>
      <c r="I9" s="273" t="s">
        <v>405</v>
      </c>
      <c r="J9" s="273" t="s">
        <v>12</v>
      </c>
      <c r="K9" s="273" t="s">
        <v>405</v>
      </c>
      <c r="L9" s="273" t="s">
        <v>12</v>
      </c>
    </row>
    <row r="10" spans="1:12" x14ac:dyDescent="0.2">
      <c r="H10" s="273" t="str">
        <f>TabelUtama!H3</f>
        <v>Semester 1</v>
      </c>
      <c r="I10" s="273">
        <f>SUMPRODUCT((Tab4A[Col1]=$H10)*(Tab4A[Col3]))</f>
        <v>0</v>
      </c>
      <c r="J10" s="273">
        <f>SUMPRODUCT((Tab4A[Col1]=$H10)*(Tab4A[Col4]))</f>
        <v>0</v>
      </c>
      <c r="K10" s="273">
        <f>SUMPRODUCT((Tab4A[Col1]=H10)*(Tab4A[Col5]=TabelUtama!$J$3)*(Tab4A[Col3]))</f>
        <v>0</v>
      </c>
      <c r="L10" s="273">
        <f>IF(K10&gt;0,MAX(Tab4A[Col4]),0)</f>
        <v>0</v>
      </c>
    </row>
    <row r="11" spans="1:12" x14ac:dyDescent="0.2">
      <c r="H11" s="273" t="str">
        <f>TabelUtama!H4</f>
        <v>Semester 2</v>
      </c>
      <c r="I11" s="273">
        <f>SUMPRODUCT((Tab4A[Col1]=$H11)*(Tab4A[Col3]))</f>
        <v>0</v>
      </c>
      <c r="J11" s="273">
        <f>SUMPRODUCT((Tab4A[Col1]=$H11)*(Tab4A[Col4]))</f>
        <v>0</v>
      </c>
      <c r="K11" s="273">
        <f>SUMPRODUCT((Tab4A[Col1]=H11)*(Tab4A[Col5]=TabelUtama!$J$3)*(Tab4A[Col3]))</f>
        <v>0</v>
      </c>
      <c r="L11" s="273">
        <f>IF(K11&gt;0,MAX(Tab4A[Col4]),0)</f>
        <v>0</v>
      </c>
    </row>
    <row r="13" spans="1:12" x14ac:dyDescent="0.2">
      <c r="H13" s="242" t="s">
        <v>721</v>
      </c>
      <c r="I13" s="241"/>
      <c r="J13" s="242"/>
      <c r="K13" s="242"/>
      <c r="L13" s="242"/>
    </row>
  </sheetData>
  <mergeCells count="3">
    <mergeCell ref="I5:L5"/>
    <mergeCell ref="I8:J8"/>
    <mergeCell ref="K8:L8"/>
  </mergeCells>
  <dataValidations count="2">
    <dataValidation type="list" allowBlank="1" showInputMessage="1" showErrorMessage="1" sqref="F7:F8" xr:uid="{00000000-0002-0000-2000-000000000000}">
      <formula1>TabutPilihanIsi</formula1>
    </dataValidation>
    <dataValidation type="list" allowBlank="1" showInputMessage="1" showErrorMessage="1" sqref="B7:B8" xr:uid="{00000000-0002-0000-2000-000001000000}">
      <formula1>TabutKalenderIsi</formula1>
    </dataValidation>
  </dataValidations>
  <pageMargins left="0.7" right="0.7" top="0.75" bottom="0.75" header="0.3" footer="0.3"/>
  <pageSetup paperSize="150"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13"/>
  <sheetViews>
    <sheetView workbookViewId="0">
      <selection activeCell="C9" sqref="C9"/>
    </sheetView>
  </sheetViews>
  <sheetFormatPr baseColWidth="10" defaultColWidth="9.1640625" defaultRowHeight="15" x14ac:dyDescent="0.2"/>
  <cols>
    <col min="1" max="1" width="5.1640625" style="1" bestFit="1" customWidth="1"/>
    <col min="2" max="2" width="12.5" style="1" customWidth="1"/>
    <col min="3" max="3" width="44.5" style="1" customWidth="1"/>
    <col min="4" max="5" width="7.6640625" style="1" customWidth="1"/>
    <col min="6" max="6" width="11" style="1" customWidth="1"/>
    <col min="7" max="7" width="2.5" style="1" customWidth="1"/>
    <col min="8" max="8" width="14.83203125" style="1" customWidth="1"/>
    <col min="9" max="16384" width="9.1640625" style="1"/>
  </cols>
  <sheetData>
    <row r="1" spans="1:12" x14ac:dyDescent="0.2">
      <c r="A1" s="299" t="s">
        <v>150</v>
      </c>
      <c r="B1" s="26" t="s">
        <v>356</v>
      </c>
      <c r="C1" s="26"/>
      <c r="D1" s="27"/>
      <c r="E1" s="27"/>
      <c r="F1" s="27"/>
      <c r="G1" s="27"/>
    </row>
    <row r="2" spans="1:12" x14ac:dyDescent="0.2">
      <c r="B2" s="25" t="s">
        <v>150</v>
      </c>
      <c r="C2" s="26"/>
      <c r="D2" s="28"/>
      <c r="E2" s="28"/>
      <c r="F2" s="28"/>
      <c r="G2" s="28"/>
    </row>
    <row r="3" spans="1:12" x14ac:dyDescent="0.2">
      <c r="B3" s="315" t="str">
        <f>INDEX(TabRef2[],MATCH($B$2,TabRef2[Column3],0),4)</f>
        <v>Melaksanakan pengembangan hasil pendidikan, dan penelitian yang dapat dimanfaatkan oleh masyarakat/ industry setiap program</v>
      </c>
      <c r="C3" s="300"/>
      <c r="D3" s="300"/>
      <c r="E3" s="300"/>
      <c r="F3" s="300"/>
      <c r="G3" s="300"/>
    </row>
    <row r="5" spans="1:12" x14ac:dyDescent="0.2">
      <c r="B5" s="106" t="s">
        <v>411</v>
      </c>
      <c r="C5" s="106" t="s">
        <v>364</v>
      </c>
      <c r="D5" s="106" t="s">
        <v>405</v>
      </c>
      <c r="E5" s="106" t="s">
        <v>12</v>
      </c>
      <c r="F5" s="106" t="s">
        <v>372</v>
      </c>
      <c r="H5" s="243"/>
      <c r="I5" s="554" t="s">
        <v>420</v>
      </c>
      <c r="J5" s="556"/>
      <c r="K5" s="556"/>
      <c r="L5" s="555"/>
    </row>
    <row r="6" spans="1:12" ht="15" hidden="1" customHeight="1" x14ac:dyDescent="0.2">
      <c r="B6" s="50" t="s">
        <v>722</v>
      </c>
      <c r="C6" s="50" t="s">
        <v>723</v>
      </c>
      <c r="D6" s="50" t="s">
        <v>724</v>
      </c>
      <c r="E6" s="50" t="s">
        <v>725</v>
      </c>
      <c r="F6" s="50" t="s">
        <v>726</v>
      </c>
      <c r="H6" s="244"/>
      <c r="I6" s="273"/>
      <c r="J6" s="273"/>
      <c r="K6" s="273"/>
      <c r="L6" s="273"/>
    </row>
    <row r="7" spans="1:12" hidden="1" x14ac:dyDescent="0.2">
      <c r="B7" s="273"/>
      <c r="C7" s="251"/>
      <c r="D7" s="273">
        <f>IF(AND(ISTEXT(Tab4B[[#This Row],[Col1]]),ISTEXT(Tab4B[[#This Row],[Col2]])),1,0)</f>
        <v>0</v>
      </c>
      <c r="E7" s="273">
        <f>Tab4B[[#This Row],[Col3]]*VLOOKUP(VLOOKUP(A$1,TabRef3[],3,FALSE),TabRef4[],5,FALSE)</f>
        <v>0</v>
      </c>
      <c r="F7" s="273"/>
      <c r="H7" s="244"/>
      <c r="I7" s="273"/>
      <c r="J7" s="273"/>
      <c r="K7" s="273"/>
      <c r="L7" s="273"/>
    </row>
    <row r="8" spans="1:12" x14ac:dyDescent="0.2">
      <c r="B8" s="49" t="s">
        <v>362</v>
      </c>
      <c r="C8" s="22" t="s">
        <v>904</v>
      </c>
      <c r="D8" s="273">
        <f>IF(AND(ISTEXT(Tab4B[[#This Row],[Col1]]),ISTEXT(Tab4B[[#This Row],[Col2]])),1,0)</f>
        <v>1</v>
      </c>
      <c r="E8" s="273">
        <f>Tab4B[[#This Row],[Col3]]*VLOOKUP(VLOOKUP(A$1,TabRef3[],3,FALSE),TabRef4[],5,FALSE)</f>
        <v>3</v>
      </c>
      <c r="F8" s="49" t="s">
        <v>370</v>
      </c>
      <c r="H8" s="244"/>
      <c r="I8" s="552" t="s">
        <v>401</v>
      </c>
      <c r="J8" s="552"/>
      <c r="K8" s="552" t="s">
        <v>402</v>
      </c>
      <c r="L8" s="552"/>
    </row>
    <row r="9" spans="1:12" x14ac:dyDescent="0.2">
      <c r="H9" s="245"/>
      <c r="I9" s="273" t="s">
        <v>405</v>
      </c>
      <c r="J9" s="273" t="s">
        <v>12</v>
      </c>
      <c r="K9" s="273" t="s">
        <v>405</v>
      </c>
      <c r="L9" s="273" t="s">
        <v>12</v>
      </c>
    </row>
    <row r="10" spans="1:12" x14ac:dyDescent="0.2">
      <c r="H10" s="273" t="str">
        <f>TabelUtama!H3</f>
        <v>Semester 1</v>
      </c>
      <c r="I10" s="273">
        <f>SUMPRODUCT((Tab4B[Col1]=$H10)*(Tab4B[Col3]))</f>
        <v>0</v>
      </c>
      <c r="J10" s="273">
        <f>SUMPRODUCT((Tab4B[Col1]=$H10)*(Tab4B[Col4]))</f>
        <v>0</v>
      </c>
      <c r="K10" s="273">
        <f>SUMPRODUCT((Tab4B[Col1]=H10)*(Tab4B[Col5]=TabelUtama!$J$3)*(Tab4B[Col3]))</f>
        <v>0</v>
      </c>
      <c r="L10" s="273">
        <f>IF(K10&gt;0,MAX(Tab4B[Col4]),0)</f>
        <v>0</v>
      </c>
    </row>
    <row r="11" spans="1:12" x14ac:dyDescent="0.2">
      <c r="H11" s="273" t="str">
        <f>TabelUtama!H4</f>
        <v>Semester 2</v>
      </c>
      <c r="I11" s="273">
        <f>SUMPRODUCT((Tab4B[Col1]=$H11)*(Tab4B[Col3]))</f>
        <v>1</v>
      </c>
      <c r="J11" s="273">
        <f>SUMPRODUCT((Tab4B[Col1]=$H11)*(Tab4B[Col4]))</f>
        <v>3</v>
      </c>
      <c r="K11" s="273">
        <f>SUMPRODUCT((Tab4B[Col1]=H11)*(Tab4B[Col5]=TabelUtama!$J$3)*(Tab4B[Col3]))</f>
        <v>1</v>
      </c>
      <c r="L11" s="273">
        <f>IF(K11&gt;0,MAX(Tab4B[Col4]),0)</f>
        <v>3</v>
      </c>
    </row>
    <row r="13" spans="1:12" x14ac:dyDescent="0.2">
      <c r="H13" s="242" t="s">
        <v>721</v>
      </c>
      <c r="I13" s="241"/>
      <c r="J13" s="242"/>
      <c r="K13" s="242"/>
      <c r="L13" s="242"/>
    </row>
  </sheetData>
  <mergeCells count="3">
    <mergeCell ref="I5:L5"/>
    <mergeCell ref="I8:J8"/>
    <mergeCell ref="K8:L8"/>
  </mergeCells>
  <dataValidations count="2">
    <dataValidation type="list" allowBlank="1" showInputMessage="1" showErrorMessage="1" sqref="B7:B8" xr:uid="{00000000-0002-0000-2100-000000000000}">
      <formula1>TabutKalenderIsi</formula1>
    </dataValidation>
    <dataValidation type="list" allowBlank="1" showInputMessage="1" showErrorMessage="1" sqref="F7:F8" xr:uid="{00000000-0002-0000-2100-000001000000}">
      <formula1>TabutPilihanIsi</formula1>
    </dataValidation>
  </dataValidations>
  <pageMargins left="0.7" right="0.7" top="0.75" bottom="0.75" header="0.3" footer="0.3"/>
  <pageSetup paperSize="150" orientation="portrait"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8"/>
  <sheetViews>
    <sheetView topLeftCell="A2" workbookViewId="0">
      <selection activeCell="I14" sqref="I14"/>
    </sheetView>
  </sheetViews>
  <sheetFormatPr baseColWidth="10" defaultColWidth="9.1640625" defaultRowHeight="15" x14ac:dyDescent="0.2"/>
  <cols>
    <col min="1" max="1" width="5.1640625" style="1" bestFit="1" customWidth="1"/>
    <col min="2" max="2" width="11.6640625" style="1" customWidth="1"/>
    <col min="3" max="3" width="45.6640625" style="1" customWidth="1"/>
    <col min="4" max="4" width="7.5" style="1" hidden="1" customWidth="1"/>
    <col min="5" max="5" width="34.33203125" style="1" customWidth="1"/>
    <col min="6" max="6" width="9.83203125" style="1" hidden="1" customWidth="1"/>
    <col min="7" max="7" width="35.6640625" style="1" customWidth="1"/>
    <col min="8" max="10" width="11" style="1" customWidth="1"/>
    <col min="11" max="16384" width="9.1640625" style="1"/>
  </cols>
  <sheetData>
    <row r="1" spans="1:11" x14ac:dyDescent="0.2">
      <c r="A1" s="299" t="s">
        <v>151</v>
      </c>
      <c r="B1" s="26" t="s">
        <v>356</v>
      </c>
      <c r="C1" s="26"/>
      <c r="D1" s="27"/>
      <c r="E1" s="27"/>
      <c r="F1" s="27"/>
      <c r="G1" s="27"/>
    </row>
    <row r="2" spans="1:11" x14ac:dyDescent="0.2">
      <c r="B2" s="25" t="s">
        <v>151</v>
      </c>
      <c r="C2" s="26"/>
      <c r="D2" s="28"/>
      <c r="E2" s="28"/>
      <c r="F2" s="28"/>
      <c r="G2" s="28"/>
    </row>
    <row r="3" spans="1:11" x14ac:dyDescent="0.2">
      <c r="B3" s="315" t="str">
        <f>INDEX(TabRef2[],MATCH($B$2,TabRef2[Column3],0),4)</f>
        <v>Memberi latihan/penyuluhan/ penataran/ceramah pada masyarakat, terjadwal/terprogram</v>
      </c>
      <c r="C3" s="318"/>
      <c r="D3" s="318"/>
      <c r="E3" s="318"/>
      <c r="F3" s="318"/>
      <c r="G3" s="318"/>
    </row>
    <row r="5" spans="1:11" x14ac:dyDescent="0.2">
      <c r="B5" s="107" t="s">
        <v>411</v>
      </c>
      <c r="C5" s="107" t="s">
        <v>359</v>
      </c>
      <c r="D5" s="107" t="s">
        <v>530</v>
      </c>
      <c r="E5" s="107" t="s">
        <v>532</v>
      </c>
      <c r="F5" s="107"/>
      <c r="G5" s="107" t="s">
        <v>468</v>
      </c>
      <c r="H5" s="107" t="s">
        <v>405</v>
      </c>
      <c r="I5" s="107" t="s">
        <v>12</v>
      </c>
      <c r="J5" s="107" t="s">
        <v>372</v>
      </c>
      <c r="K5" s="107" t="s">
        <v>536</v>
      </c>
    </row>
    <row r="6" spans="1:11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  <c r="J6" s="59" t="s">
        <v>730</v>
      </c>
      <c r="K6" s="59" t="s">
        <v>731</v>
      </c>
    </row>
    <row r="7" spans="1:11" ht="16" hidden="1" x14ac:dyDescent="0.2">
      <c r="B7" s="302"/>
      <c r="C7" s="303" t="s">
        <v>152</v>
      </c>
      <c r="D7" s="288" t="str">
        <f>INDEX(TabRef3[Column3],MATCH(Tab4C[[#This Row],[Col2]],TabRef3[Column4],0),1)</f>
        <v>IV.C.1.</v>
      </c>
      <c r="E7" s="303" t="s">
        <v>294</v>
      </c>
      <c r="F7" s="288" t="str">
        <f t="array" ref="F7">INDEX(TabRef4[Column3],MATCH(1,(Tab4C[[#This Row],[Col3]]=TabRef4[Column1])*(Tab4C[[#This Row],[Col4]]=TabRef4[Column4]),0),1)</f>
        <v>IV.C.1.a.</v>
      </c>
      <c r="G7" s="288"/>
      <c r="H7" s="289">
        <f>IF(AND(ISTEXT(Tab4C[[#This Row],[Col1]]),ISTEXT(Tab4C[[#This Row],[Col2]]),ISTEXT(Tab4C[[#This Row],[Col4]]),ISTEXT(Tab4C[[#This Row],[Col6]])),1,0)</f>
        <v>0</v>
      </c>
      <c r="I7" s="289">
        <f>IFERROR(Tab4C[[#This Row],[Col7]]*VLOOKUP(Tab4C[[#This Row],[Col5]],TabRef4[[Column3]:[Column5]],3,FALSE),0)</f>
        <v>0</v>
      </c>
      <c r="J7" s="304"/>
      <c r="K7" s="305"/>
    </row>
    <row r="8" spans="1:11" x14ac:dyDescent="0.2">
      <c r="B8" s="81"/>
      <c r="C8" s="82"/>
      <c r="D8" s="288" t="e">
        <f>INDEX(TabRef3[Column3],MATCH(Tab4C[[#This Row],[Col2]],TabRef3[Column4],0),1)</f>
        <v>#N/A</v>
      </c>
      <c r="E8" s="82"/>
      <c r="F8" s="288" t="e">
        <f t="array" ref="F8">INDEX(TabRef4[Column3],MATCH(1,(Tab4C[[#This Row],[Col3]]=TabRef4[Column1])*(Tab4C[[#This Row],[Col4]]=TabRef4[Column4]),0),1)</f>
        <v>#N/A</v>
      </c>
      <c r="G8" s="83"/>
      <c r="H8" s="289">
        <f>IF(AND(ISTEXT(Tab4C[[#This Row],[Col1]]),ISTEXT(Tab4C[[#This Row],[Col2]]),ISTEXT(Tab4C[[#This Row],[Col4]]),ISTEXT(Tab4C[[#This Row],[Col6]])),1,0)</f>
        <v>0</v>
      </c>
      <c r="I8" s="290">
        <f>IFERROR(Tab4C[[#This Row],[Col7]]*VLOOKUP(Tab4C[[#This Row],[Col5]],TabRef4[[Column3]:[Column5]],3,FALSE),0)</f>
        <v>0</v>
      </c>
      <c r="J8" s="85" t="s">
        <v>370</v>
      </c>
      <c r="K8" s="86"/>
    </row>
    <row r="9" spans="1:11" x14ac:dyDescent="0.2">
      <c r="B9" s="84" t="s">
        <v>533</v>
      </c>
    </row>
    <row r="11" spans="1:11" x14ac:dyDescent="0.2">
      <c r="G11" s="552"/>
      <c r="H11" s="554" t="s">
        <v>535</v>
      </c>
      <c r="I11" s="556"/>
      <c r="J11" s="556"/>
      <c r="K11" s="555"/>
    </row>
    <row r="12" spans="1:11" x14ac:dyDescent="0.2">
      <c r="G12" s="552"/>
      <c r="H12" s="552" t="s">
        <v>401</v>
      </c>
      <c r="I12" s="552"/>
      <c r="J12" s="554" t="s">
        <v>402</v>
      </c>
      <c r="K12" s="555"/>
    </row>
    <row r="13" spans="1:11" x14ac:dyDescent="0.2">
      <c r="G13" s="552"/>
      <c r="H13" s="273" t="s">
        <v>405</v>
      </c>
      <c r="I13" s="273" t="s">
        <v>12</v>
      </c>
      <c r="J13" s="273" t="s">
        <v>405</v>
      </c>
      <c r="K13" s="273" t="s">
        <v>12</v>
      </c>
    </row>
    <row r="14" spans="1:11" x14ac:dyDescent="0.2">
      <c r="G14" s="298" t="str">
        <f>TabelUtama!H3</f>
        <v>Semester 1</v>
      </c>
      <c r="H14" s="273">
        <f>SUMPRODUCT((Tab4C[Col1]=$G14)*(Tab4C[Col7]))</f>
        <v>0</v>
      </c>
      <c r="I14" s="273">
        <f>SUMPRODUCT((Tab4C[Col1]=$G14)*(Tab4C[Col8]))</f>
        <v>0</v>
      </c>
      <c r="J14" s="273">
        <f>SUMPRODUCT((Tab4C[Col1]=$G14)*(Tab4C[Col9]=Ya)*(Tab4C[Col7]))</f>
        <v>0</v>
      </c>
      <c r="K14" s="273">
        <f>SUMPRODUCT((Tab4C[Col1]=$G14)*(Tab4C[Col9]=Ya)*(Tab4C[Col8]))</f>
        <v>0</v>
      </c>
    </row>
    <row r="15" spans="1:11" x14ac:dyDescent="0.2">
      <c r="G15" s="298" t="str">
        <f>TabelUtama!H4</f>
        <v>Semester 2</v>
      </c>
      <c r="H15" s="273">
        <f>SUMPRODUCT((Tab4C[Col1]=$G15)*(Tab4C[Col7]))</f>
        <v>0</v>
      </c>
      <c r="I15" s="273">
        <f>SUMPRODUCT((Tab4C[Col1]=$G15)*(Tab4C[Col8]))</f>
        <v>0</v>
      </c>
      <c r="J15" s="273">
        <f>SUMPRODUCT((Tab4C[Col1]=$G15)*(Tab4C[Col9]=Ya)*(Tab4C[Col7]))</f>
        <v>0</v>
      </c>
      <c r="K15" s="273">
        <f>SUMPRODUCT((Tab4C[Col1]=$G15)*(Tab4C[Col9]=Ya)*(Tab4C[Col8]))</f>
        <v>0</v>
      </c>
    </row>
    <row r="16" spans="1:11" x14ac:dyDescent="0.2">
      <c r="G16" s="298" t="str">
        <f>TabelUtama!H5</f>
        <v>1 Tahun</v>
      </c>
      <c r="H16" s="273">
        <f>SUMPRODUCT((Tab4C[Col1]=$G16)*(Tab4C[Col7]))</f>
        <v>0</v>
      </c>
      <c r="I16" s="273">
        <f>SUMPRODUCT((Tab4C[Col1]=$G16)*(Tab4C[Col8]))</f>
        <v>0</v>
      </c>
      <c r="J16" s="273">
        <f>SUMPRODUCT((Tab4C[Col1]=$G16)*(Tab4C[Col9]=Ya)*(Tab4C[Col7]))</f>
        <v>0</v>
      </c>
      <c r="K16" s="273">
        <f>SUMPRODUCT((Tab4C[Col1]=$G16)*(Tab4C[Col9]=Ya)*(Tab4C[Col8]))</f>
        <v>0</v>
      </c>
    </row>
    <row r="18" spans="7:11" x14ac:dyDescent="0.2">
      <c r="G18" s="242" t="s">
        <v>721</v>
      </c>
      <c r="H18" s="241"/>
      <c r="I18" s="242"/>
      <c r="J18" s="242"/>
      <c r="K18" s="242"/>
    </row>
  </sheetData>
  <mergeCells count="4">
    <mergeCell ref="G11:G13"/>
    <mergeCell ref="H11:K11"/>
    <mergeCell ref="H12:I12"/>
    <mergeCell ref="J12:K12"/>
  </mergeCells>
  <dataValidations count="4">
    <dataValidation type="list" allowBlank="1" showInputMessage="1" showErrorMessage="1" sqref="B7:B8" xr:uid="{00000000-0002-0000-2200-000000000000}">
      <formula1>TabutKalenderIsi</formula1>
    </dataValidation>
    <dataValidation type="list" allowBlank="1" showInputMessage="1" showErrorMessage="1" sqref="J7:J8" xr:uid="{00000000-0002-0000-2200-000001000000}">
      <formula1>TabutPilihanIsi</formula1>
    </dataValidation>
    <dataValidation type="list" allowBlank="1" showInputMessage="1" showErrorMessage="1" sqref="C7:C8" xr:uid="{00000000-0002-0000-2200-000002000000}">
      <formula1>OFFSET(_TabRef3_offset_head,MATCH($A$1,_TabRef3_offset_all,0)-1,3,COUNTIF(_TabRef3_offset_all,$A$1),1)</formula1>
    </dataValidation>
    <dataValidation type="list" allowBlank="1" showInputMessage="1" showErrorMessage="1" sqref="E7:E8" xr:uid="{00000000-0002-0000-2200-000003000000}">
      <formula1>OFFSET(_TabRef4_offset_head,MATCH(D7,_TabRef4_offset_all,0)-1,3,COUNTIF(_TabRef4_offset_all,D7),1)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8"/>
  <sheetViews>
    <sheetView workbookViewId="0">
      <selection activeCell="F15" sqref="F15"/>
    </sheetView>
  </sheetViews>
  <sheetFormatPr baseColWidth="10" defaultColWidth="9.1640625" defaultRowHeight="15" x14ac:dyDescent="0.2"/>
  <cols>
    <col min="1" max="1" width="5.33203125" style="1" bestFit="1" customWidth="1"/>
    <col min="2" max="2" width="11.6640625" style="1" customWidth="1"/>
    <col min="3" max="3" width="45.6640625" style="1" customWidth="1"/>
    <col min="4" max="4" width="7.5" style="1" hidden="1" customWidth="1"/>
    <col min="5" max="5" width="35.6640625" style="1" customWidth="1"/>
    <col min="6" max="8" width="11" style="1" customWidth="1"/>
    <col min="9" max="16384" width="9.1640625" style="1"/>
  </cols>
  <sheetData>
    <row r="1" spans="1:9" x14ac:dyDescent="0.2">
      <c r="A1" s="299" t="s">
        <v>154</v>
      </c>
      <c r="B1" s="26" t="s">
        <v>356</v>
      </c>
      <c r="C1" s="26"/>
      <c r="D1" s="27"/>
      <c r="E1" s="27"/>
      <c r="F1" s="27"/>
      <c r="G1" s="27"/>
    </row>
    <row r="2" spans="1:9" x14ac:dyDescent="0.2">
      <c r="B2" s="25" t="s">
        <v>154</v>
      </c>
      <c r="C2" s="26"/>
      <c r="D2" s="28"/>
      <c r="E2" s="28"/>
      <c r="F2" s="28"/>
      <c r="G2" s="28"/>
    </row>
    <row r="3" spans="1:9" x14ac:dyDescent="0.2">
      <c r="B3" s="315" t="str">
        <f>INDEX(TabRef2[],MATCH($B$2,TabRef2[Column3],0),4)</f>
        <v>Memberi pelayanan kepada masyarakat atau kegiatan lain yang menunjang pelaksanaan tugas pemerintahan dan pembangunan</v>
      </c>
      <c r="C3" s="318"/>
      <c r="D3" s="318"/>
      <c r="E3" s="318"/>
      <c r="F3" s="318"/>
      <c r="G3" s="318"/>
    </row>
    <row r="5" spans="1:9" x14ac:dyDescent="0.2">
      <c r="B5" s="108" t="s">
        <v>411</v>
      </c>
      <c r="C5" s="108" t="s">
        <v>359</v>
      </c>
      <c r="D5" s="108" t="s">
        <v>530</v>
      </c>
      <c r="E5" s="108" t="s">
        <v>468</v>
      </c>
      <c r="F5" s="108" t="s">
        <v>405</v>
      </c>
      <c r="G5" s="108" t="s">
        <v>12</v>
      </c>
      <c r="H5" s="108" t="s">
        <v>372</v>
      </c>
      <c r="I5" s="108" t="s">
        <v>536</v>
      </c>
    </row>
    <row r="6" spans="1:9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</row>
    <row r="7" spans="1:9" ht="16" hidden="1" x14ac:dyDescent="0.2">
      <c r="B7" s="302"/>
      <c r="C7" s="303" t="s">
        <v>155</v>
      </c>
      <c r="D7" s="288" t="str">
        <f>INDEX(TabRef3[Column3],MATCH(Tab4D[[#This Row],[Col2]],TabRef3[Column4],0),1)</f>
        <v>IV.D.1.</v>
      </c>
      <c r="E7" s="288"/>
      <c r="F7" s="289">
        <f>IF(AND(ISTEXT(Tab4D[[#This Row],[Col1]]),ISTEXT(Tab4D[[#This Row],[Col2]]),ISTEXT(Tab4D[[#This Row],[Col4]])),1,0)</f>
        <v>0</v>
      </c>
      <c r="G7" s="289">
        <f>IFERROR(Tab4D[[#This Row],[Col5]]*VLOOKUP(Tab4D[[#This Row],[Col3]],TabRef4[[Column1]:[Column5]],5,FALSE),0)</f>
        <v>0</v>
      </c>
      <c r="H7" s="304"/>
      <c r="I7" s="305"/>
    </row>
    <row r="8" spans="1:9" x14ac:dyDescent="0.2">
      <c r="B8" s="81"/>
      <c r="C8" s="82"/>
      <c r="D8" s="288" t="e">
        <f>INDEX(TabRef3[Column3],MATCH(Tab4D[[#This Row],[Col2]],TabRef3[Column4],0),1)</f>
        <v>#N/A</v>
      </c>
      <c r="E8" s="83"/>
      <c r="F8" s="289">
        <f>IF(AND(ISTEXT(Tab4D[[#This Row],[Col1]]),ISTEXT(Tab4D[[#This Row],[Col2]]),ISTEXT(Tab4D[[#This Row],[Col4]])),1,0)</f>
        <v>0</v>
      </c>
      <c r="G8" s="289">
        <f>IFERROR(Tab4D[[#This Row],[Col5]]*VLOOKUP(Tab4D[[#This Row],[Col3]],TabRef4[[Column1]:[Column5]],5,FALSE),0)</f>
        <v>0</v>
      </c>
      <c r="H8" s="85" t="s">
        <v>370</v>
      </c>
      <c r="I8" s="86"/>
    </row>
    <row r="9" spans="1:9" x14ac:dyDescent="0.2">
      <c r="B9" s="84" t="s">
        <v>533</v>
      </c>
    </row>
    <row r="11" spans="1:9" x14ac:dyDescent="0.2">
      <c r="E11" s="552"/>
      <c r="F11" s="554" t="s">
        <v>535</v>
      </c>
      <c r="G11" s="556"/>
      <c r="H11" s="556"/>
      <c r="I11" s="555"/>
    </row>
    <row r="12" spans="1:9" x14ac:dyDescent="0.2">
      <c r="E12" s="552"/>
      <c r="F12" s="552" t="s">
        <v>401</v>
      </c>
      <c r="G12" s="552"/>
      <c r="H12" s="554" t="s">
        <v>402</v>
      </c>
      <c r="I12" s="555"/>
    </row>
    <row r="13" spans="1:9" x14ac:dyDescent="0.2">
      <c r="E13" s="552"/>
      <c r="F13" s="273" t="s">
        <v>405</v>
      </c>
      <c r="G13" s="273" t="s">
        <v>12</v>
      </c>
      <c r="H13" s="273" t="s">
        <v>405</v>
      </c>
      <c r="I13" s="273" t="s">
        <v>12</v>
      </c>
    </row>
    <row r="14" spans="1:9" x14ac:dyDescent="0.2">
      <c r="E14" s="298" t="str">
        <f>TabelUtama!H3</f>
        <v>Semester 1</v>
      </c>
      <c r="F14" s="273">
        <f>SUMPRODUCT((Tab4D[Col1]=$E14)*(Tab4D[Col5]))</f>
        <v>0</v>
      </c>
      <c r="G14" s="273">
        <f>SUMPRODUCT((Tab4D[Col1]=$E14)*(Tab4D[Col6]))</f>
        <v>0</v>
      </c>
      <c r="H14" s="273">
        <f>SUMPRODUCT((Tab4D[Col1]=$E14)*(Tab4D[Col7]=Ya)*(Tab4D[Col5]))</f>
        <v>0</v>
      </c>
      <c r="I14" s="273">
        <f>SUMPRODUCT((Tab4D[Col1]=$E14)*(Tab4D[Col7]=Ya)*(Tab4D[Col6]))</f>
        <v>0</v>
      </c>
    </row>
    <row r="15" spans="1:9" x14ac:dyDescent="0.2">
      <c r="E15" s="298" t="str">
        <f>TabelUtama!H4</f>
        <v>Semester 2</v>
      </c>
      <c r="F15" s="273">
        <f>SUMPRODUCT((Tab4D[Col1]=$E15)*(Tab4D[Col5]))</f>
        <v>0</v>
      </c>
      <c r="G15" s="273">
        <f>SUMPRODUCT((Tab4D[Col1]=$E15)*(Tab4D[Col6]))</f>
        <v>0</v>
      </c>
      <c r="H15" s="273">
        <f>SUMPRODUCT((Tab4D[Col1]=$E15)*(Tab4D[Col7]=Ya)*(Tab4D[Col5]))</f>
        <v>0</v>
      </c>
      <c r="I15" s="273">
        <f>SUMPRODUCT((Tab4D[Col1]=$E15)*(Tab4D[Col7]=Ya)*(Tab4D[Col6]))</f>
        <v>0</v>
      </c>
    </row>
    <row r="16" spans="1:9" x14ac:dyDescent="0.2">
      <c r="E16" s="298" t="str">
        <f>TabelUtama!H5</f>
        <v>1 Tahun</v>
      </c>
      <c r="F16" s="273">
        <f>SUMPRODUCT((Tab4D[Col1]=$E16)*(Tab4D[Col5]))</f>
        <v>0</v>
      </c>
      <c r="G16" s="273">
        <f>SUMPRODUCT((Tab4D[Col1]=$E16)*(Tab4D[Col6]))</f>
        <v>0</v>
      </c>
      <c r="H16" s="273">
        <f>SUMPRODUCT((Tab4D[Col1]=$E16)*(Tab4D[Col7]=Ya)*(Tab4D[Col5]))</f>
        <v>0</v>
      </c>
      <c r="I16" s="273">
        <f>SUMPRODUCT((Tab4D[Col1]=$E16)*(Tab4D[Col7]=Ya)*(Tab4D[Col6]))</f>
        <v>0</v>
      </c>
    </row>
    <row r="18" spans="5:9" x14ac:dyDescent="0.2">
      <c r="E18" s="242" t="s">
        <v>721</v>
      </c>
      <c r="F18" s="241"/>
      <c r="G18" s="242"/>
      <c r="H18" s="242"/>
      <c r="I18" s="242"/>
    </row>
  </sheetData>
  <mergeCells count="4">
    <mergeCell ref="E11:E13"/>
    <mergeCell ref="F11:I11"/>
    <mergeCell ref="F12:G12"/>
    <mergeCell ref="H12:I12"/>
  </mergeCells>
  <dataValidations count="3">
    <dataValidation type="list" allowBlank="1" showInputMessage="1" showErrorMessage="1" sqref="C7:C8" xr:uid="{00000000-0002-0000-2300-000000000000}">
      <formula1>OFFSET(_TabRef3_offset_head,MATCH($A$1,_TabRef3_offset_all,0)-1,3,COUNTIF(_TabRef3_offset_all,$A$1),1)</formula1>
    </dataValidation>
    <dataValidation type="list" allowBlank="1" showInputMessage="1" showErrorMessage="1" sqref="H7:H8" xr:uid="{00000000-0002-0000-2300-000001000000}">
      <formula1>TabutPilihanIsi</formula1>
    </dataValidation>
    <dataValidation type="list" allowBlank="1" showInputMessage="1" showErrorMessage="1" sqref="B7:B8" xr:uid="{00000000-0002-0000-2300-000002000000}">
      <formula1>TabutKalenderIsi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12"/>
  <sheetViews>
    <sheetView workbookViewId="0">
      <selection activeCell="J9" sqref="J9"/>
    </sheetView>
  </sheetViews>
  <sheetFormatPr baseColWidth="10" defaultColWidth="9.1640625" defaultRowHeight="15" x14ac:dyDescent="0.2"/>
  <cols>
    <col min="1" max="1" width="5" style="1" bestFit="1" customWidth="1"/>
    <col min="2" max="2" width="12.5" style="1" customWidth="1"/>
    <col min="3" max="3" width="44.5" style="1" customWidth="1"/>
    <col min="4" max="5" width="7.6640625" style="1" customWidth="1"/>
    <col min="6" max="6" width="11" style="1" customWidth="1"/>
    <col min="7" max="7" width="2.5" style="1" customWidth="1"/>
    <col min="8" max="8" width="14.83203125" style="1" customWidth="1"/>
    <col min="9" max="16384" width="9.1640625" style="1"/>
  </cols>
  <sheetData>
    <row r="1" spans="1:12" x14ac:dyDescent="0.2">
      <c r="A1" s="299" t="s">
        <v>158</v>
      </c>
      <c r="B1" s="26" t="s">
        <v>356</v>
      </c>
      <c r="C1" s="26"/>
      <c r="D1" s="27"/>
      <c r="E1" s="27"/>
      <c r="F1" s="27"/>
      <c r="G1" s="27"/>
    </row>
    <row r="2" spans="1:12" x14ac:dyDescent="0.2">
      <c r="B2" s="25" t="s">
        <v>158</v>
      </c>
      <c r="C2" s="26"/>
      <c r="D2" s="28"/>
      <c r="E2" s="28"/>
      <c r="F2" s="28"/>
      <c r="G2" s="28"/>
    </row>
    <row r="3" spans="1:12" ht="15" customHeight="1" x14ac:dyDescent="0.2">
      <c r="B3" s="315" t="str">
        <f>INDEX(TabRef2[],MATCH($B$2,TabRef2[Column3],0),4)</f>
        <v>Membuat/menulis karya pengabdian pada masyarakat yang tidak dipublikasikan,tiap karya</v>
      </c>
      <c r="C3" s="300"/>
      <c r="D3" s="300"/>
      <c r="E3" s="300"/>
      <c r="F3" s="300"/>
      <c r="G3" s="300"/>
    </row>
    <row r="5" spans="1:12" x14ac:dyDescent="0.2">
      <c r="B5" s="109" t="s">
        <v>411</v>
      </c>
      <c r="C5" s="109" t="s">
        <v>531</v>
      </c>
      <c r="D5" s="109" t="s">
        <v>405</v>
      </c>
      <c r="E5" s="109" t="s">
        <v>12</v>
      </c>
      <c r="F5" s="109" t="s">
        <v>372</v>
      </c>
      <c r="H5" s="557"/>
      <c r="I5" s="554" t="s">
        <v>420</v>
      </c>
      <c r="J5" s="556"/>
      <c r="K5" s="556"/>
      <c r="L5" s="555"/>
    </row>
    <row r="6" spans="1:12" ht="15" hidden="1" customHeight="1" x14ac:dyDescent="0.2">
      <c r="B6" s="50" t="s">
        <v>722</v>
      </c>
      <c r="C6" s="50" t="s">
        <v>723</v>
      </c>
      <c r="D6" s="50" t="s">
        <v>724</v>
      </c>
      <c r="E6" s="50" t="s">
        <v>725</v>
      </c>
      <c r="F6" s="50" t="s">
        <v>726</v>
      </c>
      <c r="H6" s="558"/>
      <c r="I6" s="273"/>
      <c r="J6" s="273"/>
      <c r="K6" s="273"/>
      <c r="L6" s="273"/>
    </row>
    <row r="7" spans="1:12" hidden="1" x14ac:dyDescent="0.2">
      <c r="B7" s="273"/>
      <c r="C7" s="251"/>
      <c r="D7" s="273">
        <f>IF(AND(ISTEXT(Tab4E[[#This Row],[Col1]]),ISTEXT(Tab4E[[#This Row],[Col2]])),1,0)</f>
        <v>0</v>
      </c>
      <c r="E7" s="273">
        <f>Tab4E[[#This Row],[Col3]]*VLOOKUP(VLOOKUP(A$1,TabRef3[],3,FALSE),TabRef4[],5,FALSE)</f>
        <v>0</v>
      </c>
      <c r="F7" s="273"/>
      <c r="H7" s="558"/>
      <c r="I7" s="552" t="s">
        <v>401</v>
      </c>
      <c r="J7" s="552"/>
      <c r="K7" s="552" t="s">
        <v>402</v>
      </c>
      <c r="L7" s="552"/>
    </row>
    <row r="8" spans="1:12" x14ac:dyDescent="0.2">
      <c r="B8" s="49"/>
      <c r="C8" s="22"/>
      <c r="D8" s="273">
        <f>IF(AND(ISTEXT(Tab4E[[#This Row],[Col1]]),ISTEXT(Tab4E[[#This Row],[Col2]])),1,0)</f>
        <v>0</v>
      </c>
      <c r="E8" s="273">
        <f>Tab4E[[#This Row],[Col3]]*VLOOKUP(VLOOKUP(A$1,TabRef3[],3,FALSE),TabRef4[],5,FALSE)</f>
        <v>0</v>
      </c>
      <c r="F8" s="49" t="s">
        <v>370</v>
      </c>
      <c r="H8" s="559"/>
      <c r="I8" s="273" t="s">
        <v>405</v>
      </c>
      <c r="J8" s="273" t="s">
        <v>12</v>
      </c>
      <c r="K8" s="273" t="s">
        <v>405</v>
      </c>
      <c r="L8" s="273" t="s">
        <v>12</v>
      </c>
    </row>
    <row r="9" spans="1:12" x14ac:dyDescent="0.2">
      <c r="H9" s="273" t="str">
        <f>TabelUtama!H3</f>
        <v>Semester 1</v>
      </c>
      <c r="I9" s="273">
        <f>SUMPRODUCT((Tab4E[Col1]=$H9)*(Tab4E[Col3]))</f>
        <v>0</v>
      </c>
      <c r="J9" s="273">
        <f>SUMPRODUCT((Tab4E[Col1]=$H9)*(Tab4E[Col4]))</f>
        <v>0</v>
      </c>
      <c r="K9" s="273">
        <f>SUMPRODUCT((Tab4E[Col1]=H9)*(Tab4E[Col5]=TabelUtama!$J$3)*(Tab4E[Col3]))</f>
        <v>0</v>
      </c>
      <c r="L9" s="273">
        <f>IF(K9&gt;0,MAX(Tab4E[Col4]),0)</f>
        <v>0</v>
      </c>
    </row>
    <row r="10" spans="1:12" x14ac:dyDescent="0.2">
      <c r="H10" s="273" t="str">
        <f>TabelUtama!H4</f>
        <v>Semester 2</v>
      </c>
      <c r="I10" s="273">
        <f>SUMPRODUCT((Tab4E[Col1]=$H10)*(Tab4E[Col3]))</f>
        <v>0</v>
      </c>
      <c r="J10" s="273">
        <f>SUMPRODUCT((Tab4E[Col1]=$H10)*(Tab4E[Col4]))</f>
        <v>0</v>
      </c>
      <c r="K10" s="273">
        <f>SUMPRODUCT((Tab4E[Col1]=H10)*(Tab4E[Col5]=TabelUtama!$J$3)*(Tab4E[Col3]))</f>
        <v>0</v>
      </c>
      <c r="L10" s="273">
        <f>IF(K10&gt;0,MAX(Tab4E[Col4]),0)</f>
        <v>0</v>
      </c>
    </row>
    <row r="12" spans="1:12" x14ac:dyDescent="0.2">
      <c r="H12" s="242" t="s">
        <v>721</v>
      </c>
      <c r="I12" s="241"/>
      <c r="J12" s="242"/>
      <c r="K12" s="242"/>
      <c r="L12" s="242"/>
    </row>
  </sheetData>
  <mergeCells count="4">
    <mergeCell ref="H5:H8"/>
    <mergeCell ref="I5:L5"/>
    <mergeCell ref="I7:J7"/>
    <mergeCell ref="K7:L7"/>
  </mergeCells>
  <dataValidations count="2">
    <dataValidation type="list" allowBlank="1" showInputMessage="1" showErrorMessage="1" sqref="F7:F8" xr:uid="{00000000-0002-0000-2400-000000000000}">
      <formula1>TabutPilihanIsi</formula1>
    </dataValidation>
    <dataValidation type="list" allowBlank="1" showInputMessage="1" showErrorMessage="1" sqref="B7:B8" xr:uid="{00000000-0002-0000-2400-000001000000}">
      <formula1>TabutKalenderIsi</formula1>
    </dataValidation>
  </dataValidations>
  <pageMargins left="0.7" right="0.7" top="0.75" bottom="0.75" header="0.3" footer="0.3"/>
  <pageSetup paperSize="150" orientation="portrait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3"/>
  <sheetViews>
    <sheetView workbookViewId="0">
      <selection activeCell="C9" sqref="C9"/>
    </sheetView>
  </sheetViews>
  <sheetFormatPr baseColWidth="10" defaultColWidth="9.1640625" defaultRowHeight="15" x14ac:dyDescent="0.2"/>
  <cols>
    <col min="1" max="1" width="5" style="1" bestFit="1" customWidth="1"/>
    <col min="2" max="2" width="12.5" style="1" customWidth="1"/>
    <col min="3" max="3" width="44.5" style="1" customWidth="1"/>
    <col min="4" max="5" width="7.6640625" style="1" customWidth="1"/>
    <col min="6" max="6" width="11" style="1" customWidth="1"/>
    <col min="7" max="7" width="2.5" style="1" customWidth="1"/>
    <col min="8" max="8" width="14.83203125" style="1" customWidth="1"/>
    <col min="9" max="16384" width="9.1640625" style="1"/>
  </cols>
  <sheetData>
    <row r="1" spans="1:12" x14ac:dyDescent="0.2">
      <c r="A1" s="299" t="s">
        <v>747</v>
      </c>
      <c r="B1" s="26" t="s">
        <v>356</v>
      </c>
    </row>
    <row r="2" spans="1:12" x14ac:dyDescent="0.2">
      <c r="B2" s="25" t="s">
        <v>747</v>
      </c>
    </row>
    <row r="3" spans="1:12" x14ac:dyDescent="0.2">
      <c r="B3" s="315" t="str">
        <f>INDEX(TabRef2[],MATCH($B$2,TabRef2[Column3],0),4)</f>
        <v>Hasil kegiatan pengabdian kepada masyarakat yang dipublikasikan di sebuah berkala/jurnal pengabdian kepada masyarakat atau teknologi tepat guna, merupakan diseminasi dari luaran program kegiatan pengabdian kepada masyarakat, tiap karya</v>
      </c>
    </row>
    <row r="5" spans="1:12" x14ac:dyDescent="0.2">
      <c r="B5" s="113" t="s">
        <v>411</v>
      </c>
      <c r="C5" s="113" t="s">
        <v>364</v>
      </c>
      <c r="D5" s="113" t="s">
        <v>405</v>
      </c>
      <c r="E5" s="113" t="s">
        <v>12</v>
      </c>
      <c r="F5" s="113" t="s">
        <v>372</v>
      </c>
      <c r="H5" s="243"/>
      <c r="I5" s="554" t="s">
        <v>420</v>
      </c>
      <c r="J5" s="556"/>
      <c r="K5" s="556"/>
      <c r="L5" s="555"/>
    </row>
    <row r="6" spans="1:12" ht="15" hidden="1" customHeight="1" x14ac:dyDescent="0.2">
      <c r="B6" s="50" t="s">
        <v>722</v>
      </c>
      <c r="C6" s="50" t="s">
        <v>723</v>
      </c>
      <c r="D6" s="50" t="s">
        <v>724</v>
      </c>
      <c r="E6" s="50" t="s">
        <v>725</v>
      </c>
      <c r="F6" s="50" t="s">
        <v>726</v>
      </c>
      <c r="H6" s="244"/>
      <c r="I6" s="284"/>
      <c r="J6" s="284"/>
      <c r="K6" s="284"/>
      <c r="L6" s="284"/>
    </row>
    <row r="7" spans="1:12" hidden="1" x14ac:dyDescent="0.2">
      <c r="B7" s="284"/>
      <c r="C7" s="251"/>
      <c r="D7" s="284">
        <f>IF(AND(ISTEXT(Tab4F[[#This Row],[Col1]]),ISTEXT(Tab4F[[#This Row],[Col2]])),1,0)</f>
        <v>0</v>
      </c>
      <c r="E7" s="284">
        <f>Tab4F[[#This Row],[Col3]]*VLOOKUP(VLOOKUP(A$1,TabRef3[],3,FALSE),TabRef4[],5,FALSE)</f>
        <v>0</v>
      </c>
      <c r="F7" s="284"/>
      <c r="H7" s="244"/>
      <c r="I7" s="284"/>
      <c r="J7" s="284"/>
      <c r="K7" s="284"/>
      <c r="L7" s="284"/>
    </row>
    <row r="8" spans="1:12" x14ac:dyDescent="0.2">
      <c r="B8" s="49" t="s">
        <v>362</v>
      </c>
      <c r="C8" s="22" t="s">
        <v>902</v>
      </c>
      <c r="D8" s="284">
        <f>IF(AND(ISTEXT(Tab4F[[#This Row],[Col1]]),ISTEXT(Tab4F[[#This Row],[Col2]])),1,0)</f>
        <v>1</v>
      </c>
      <c r="E8" s="284">
        <f>Tab4F[[#This Row],[Col3]]*VLOOKUP(VLOOKUP(A$1,TabRef3[],3,FALSE),TabRef4[],5,FALSE)</f>
        <v>5</v>
      </c>
      <c r="F8" s="49" t="s">
        <v>370</v>
      </c>
      <c r="H8" s="244"/>
      <c r="I8" s="552" t="s">
        <v>401</v>
      </c>
      <c r="J8" s="552"/>
      <c r="K8" s="552" t="s">
        <v>402</v>
      </c>
      <c r="L8" s="552"/>
    </row>
    <row r="9" spans="1:12" x14ac:dyDescent="0.2">
      <c r="H9" s="245"/>
      <c r="I9" s="284" t="s">
        <v>405</v>
      </c>
      <c r="J9" s="284" t="s">
        <v>12</v>
      </c>
      <c r="K9" s="284" t="s">
        <v>405</v>
      </c>
      <c r="L9" s="284" t="s">
        <v>12</v>
      </c>
    </row>
    <row r="10" spans="1:12" x14ac:dyDescent="0.2">
      <c r="H10" s="284" t="str">
        <f>TabelUtama!H3</f>
        <v>Semester 1</v>
      </c>
      <c r="I10" s="284">
        <f>SUMPRODUCT((Tab4F[Col1]=$H10)*(Tab4F[Col3]))</f>
        <v>0</v>
      </c>
      <c r="J10" s="284">
        <f>SUMPRODUCT((Tab4F[Col1]=$H10)*(Tab4F[Col4]))</f>
        <v>0</v>
      </c>
      <c r="K10" s="284">
        <f>SUMPRODUCT((Tab4F[Col1]=H10)*(Tab4F[Col5]=TabelUtama!$J$3)*(Tab4F[Col3]))</f>
        <v>0</v>
      </c>
      <c r="L10" s="284">
        <f>IF(K10&gt;0,MAX(Tab4F[Col4]),0)</f>
        <v>0</v>
      </c>
    </row>
    <row r="11" spans="1:12" x14ac:dyDescent="0.2">
      <c r="H11" s="284" t="str">
        <f>TabelUtama!H4</f>
        <v>Semester 2</v>
      </c>
      <c r="I11" s="284">
        <f>SUMPRODUCT((Tab4F[Col1]=$H11)*(Tab4F[Col3]))</f>
        <v>1</v>
      </c>
      <c r="J11" s="284">
        <f>SUMPRODUCT((Tab4F[Col1]=$H11)*(Tab4F[Col4]))</f>
        <v>5</v>
      </c>
      <c r="K11" s="284">
        <f>SUMPRODUCT((Tab4F[Col1]=H11)*(Tab4F[Col5]=TabelUtama!$J$3)*(Tab4F[Col3]))</f>
        <v>1</v>
      </c>
      <c r="L11" s="284">
        <f>IF(K11&gt;0,MAX(Tab4F[Col4]),0)</f>
        <v>5</v>
      </c>
    </row>
    <row r="13" spans="1:12" x14ac:dyDescent="0.2">
      <c r="H13" s="242" t="s">
        <v>721</v>
      </c>
      <c r="I13" s="241"/>
      <c r="J13" s="242"/>
      <c r="K13" s="242"/>
      <c r="L13" s="242"/>
    </row>
  </sheetData>
  <mergeCells count="3">
    <mergeCell ref="I5:L5"/>
    <mergeCell ref="I8:J8"/>
    <mergeCell ref="K8:L8"/>
  </mergeCells>
  <dataValidations count="2">
    <dataValidation type="list" allowBlank="1" showInputMessage="1" showErrorMessage="1" sqref="F7:F8" xr:uid="{00000000-0002-0000-2500-000000000000}">
      <formula1>TabutPilihanIsi</formula1>
    </dataValidation>
    <dataValidation type="list" allowBlank="1" showInputMessage="1" showErrorMessage="1" sqref="B7:B8" xr:uid="{00000000-0002-0000-2500-000001000000}">
      <formula1>TabutKalenderIsi</formula1>
    </dataValidation>
  </dataValidations>
  <pageMargins left="0.7" right="0.7" top="0.75" bottom="0.75" header="0.3" footer="0.3"/>
  <pageSetup paperSize="150" orientation="portrait"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8"/>
  <sheetViews>
    <sheetView workbookViewId="0">
      <selection activeCell="G8" sqref="G8"/>
    </sheetView>
  </sheetViews>
  <sheetFormatPr baseColWidth="10" defaultColWidth="9.1640625" defaultRowHeight="15" x14ac:dyDescent="0.2"/>
  <cols>
    <col min="1" max="1" width="4.5" style="1" bestFit="1" customWidth="1"/>
    <col min="2" max="2" width="11.6640625" style="1" customWidth="1"/>
    <col min="3" max="3" width="45.6640625" style="1" customWidth="1"/>
    <col min="4" max="4" width="7.5" style="1" hidden="1" customWidth="1"/>
    <col min="5" max="5" width="35.6640625" style="1" customWidth="1"/>
    <col min="6" max="8" width="11" style="1" customWidth="1"/>
    <col min="9" max="16384" width="9.1640625" style="1"/>
  </cols>
  <sheetData>
    <row r="1" spans="1:9" x14ac:dyDescent="0.2">
      <c r="A1" s="299" t="s">
        <v>748</v>
      </c>
      <c r="B1" s="26" t="s">
        <v>356</v>
      </c>
      <c r="C1" s="26"/>
      <c r="D1" s="27"/>
      <c r="E1" s="27"/>
      <c r="F1" s="27"/>
      <c r="G1" s="27"/>
    </row>
    <row r="2" spans="1:9" x14ac:dyDescent="0.2">
      <c r="B2" s="25" t="s">
        <v>748</v>
      </c>
      <c r="C2" s="26"/>
      <c r="D2" s="301"/>
      <c r="E2" s="301"/>
      <c r="F2" s="301"/>
      <c r="G2" s="301"/>
    </row>
    <row r="3" spans="1:9" ht="15" customHeight="1" x14ac:dyDescent="0.2">
      <c r="B3" s="315" t="str">
        <f>INDEX(TabRef2[],MATCH($B$2,TabRef2[Column3],0),4)</f>
        <v>Berperan serta aktif dalam pengelolaan jurnal ilmiah (per tahun)</v>
      </c>
      <c r="C3" s="300"/>
      <c r="D3" s="300"/>
      <c r="E3" s="300"/>
      <c r="F3" s="300"/>
      <c r="G3" s="300"/>
    </row>
    <row r="5" spans="1:9" x14ac:dyDescent="0.2">
      <c r="B5" s="285" t="s">
        <v>411</v>
      </c>
      <c r="C5" s="285" t="s">
        <v>359</v>
      </c>
      <c r="D5" s="285" t="s">
        <v>530</v>
      </c>
      <c r="E5" s="285" t="s">
        <v>531</v>
      </c>
      <c r="F5" s="285" t="s">
        <v>405</v>
      </c>
      <c r="G5" s="285" t="s">
        <v>12</v>
      </c>
      <c r="H5" s="285" t="s">
        <v>372</v>
      </c>
      <c r="I5" s="285" t="s">
        <v>536</v>
      </c>
    </row>
    <row r="6" spans="1:9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</row>
    <row r="7" spans="1:9" ht="32" hidden="1" x14ac:dyDescent="0.2">
      <c r="B7" s="302"/>
      <c r="C7" s="303" t="s">
        <v>173</v>
      </c>
      <c r="D7" s="288" t="str">
        <f>INDEX(TabRef3[Column3],MATCH(Tab4G[[#This Row],[Col2]],TabRef3[Column4],0),1)</f>
        <v>IV.G.1.</v>
      </c>
      <c r="E7" s="288"/>
      <c r="F7" s="289">
        <f>IF(AND(ISTEXT(Tab4G[[#This Row],[Col1]]),ISTEXT(Tab4G[[#This Row],[Col2]]),ISTEXT(Tab4G[[#This Row],[Col4]])),1,0)</f>
        <v>0</v>
      </c>
      <c r="G7" s="289">
        <f>IFERROR(Tab4G[[#This Row],[Col5]]*VLOOKUP(Tab4G[[#This Row],[Col3]],TabRef4[[Column1]:[Column5]],5,FALSE),0)</f>
        <v>0</v>
      </c>
      <c r="H7" s="304"/>
      <c r="I7" s="305"/>
    </row>
    <row r="8" spans="1:9" ht="32" x14ac:dyDescent="0.2">
      <c r="B8" s="81" t="s">
        <v>483</v>
      </c>
      <c r="C8" s="82" t="s">
        <v>174</v>
      </c>
      <c r="D8" s="288" t="str">
        <f>INDEX(TabRef3[Column3],MATCH(Tab4G[[#This Row],[Col2]],TabRef3[Column4],0),1)</f>
        <v>IV.G.2.</v>
      </c>
      <c r="E8" s="83" t="s">
        <v>903</v>
      </c>
      <c r="F8" s="289">
        <f>IF(AND(ISTEXT(Tab4G[[#This Row],[Col1]]),ISTEXT(Tab4G[[#This Row],[Col2]]),ISTEXT(Tab4G[[#This Row],[Col4]])),1,0)</f>
        <v>1</v>
      </c>
      <c r="G8" s="289">
        <f>IFERROR(Tab4G[[#This Row],[Col5]]*VLOOKUP(Tab4G[[#This Row],[Col3]],TabRef4[[Column1]:[Column5]],5,FALSE),0)</f>
        <v>0.5</v>
      </c>
      <c r="H8" s="85" t="s">
        <v>370</v>
      </c>
      <c r="I8" s="86"/>
    </row>
    <row r="9" spans="1:9" x14ac:dyDescent="0.2">
      <c r="B9" s="84" t="s">
        <v>533</v>
      </c>
    </row>
    <row r="11" spans="1:9" x14ac:dyDescent="0.2">
      <c r="E11" s="552"/>
      <c r="F11" s="554" t="s">
        <v>535</v>
      </c>
      <c r="G11" s="556"/>
      <c r="H11" s="556"/>
      <c r="I11" s="555"/>
    </row>
    <row r="12" spans="1:9" x14ac:dyDescent="0.2">
      <c r="E12" s="552"/>
      <c r="F12" s="552" t="s">
        <v>401</v>
      </c>
      <c r="G12" s="552"/>
      <c r="H12" s="554" t="s">
        <v>402</v>
      </c>
      <c r="I12" s="555"/>
    </row>
    <row r="13" spans="1:9" x14ac:dyDescent="0.2">
      <c r="E13" s="552"/>
      <c r="F13" s="284" t="s">
        <v>405</v>
      </c>
      <c r="G13" s="284" t="s">
        <v>12</v>
      </c>
      <c r="H13" s="284" t="s">
        <v>405</v>
      </c>
      <c r="I13" s="284" t="s">
        <v>12</v>
      </c>
    </row>
    <row r="14" spans="1:9" x14ac:dyDescent="0.2">
      <c r="E14" s="298" t="str">
        <f>TabelUtama!H3</f>
        <v>Semester 1</v>
      </c>
      <c r="F14" s="284">
        <f>SUMPRODUCT((Tab4G[Col1]=$E14)*(Tab4G[Col5]))</f>
        <v>0</v>
      </c>
      <c r="G14" s="284">
        <f>SUMPRODUCT((Tab4G[Col1]=$E14)*(Tab4G[Col6]))</f>
        <v>0</v>
      </c>
      <c r="H14" s="284">
        <f>SUMPRODUCT((Tab4G[Col1]=$E14)*(Tab4G[Col7]=Ya)*(Tab4G[Col5]))</f>
        <v>0</v>
      </c>
      <c r="I14" s="284">
        <f>SUMPRODUCT((Tab4G[Col1]=$E14)*(Tab4G[Col7]=Ya)*(Tab4G[Col6]))</f>
        <v>0</v>
      </c>
    </row>
    <row r="15" spans="1:9" x14ac:dyDescent="0.2">
      <c r="E15" s="298" t="str">
        <f>TabelUtama!H4</f>
        <v>Semester 2</v>
      </c>
      <c r="F15" s="284">
        <f>SUMPRODUCT((Tab4G[Col1]=$E15)*(Tab4G[Col5]))</f>
        <v>0</v>
      </c>
      <c r="G15" s="284">
        <f>SUMPRODUCT((Tab4G[Col1]=$E15)*(Tab4G[Col6]))</f>
        <v>0</v>
      </c>
      <c r="H15" s="284">
        <f>SUMPRODUCT((Tab4G[Col1]=$E15)*(Tab4G[Col7]=Ya)*(Tab4G[Col5]))</f>
        <v>0</v>
      </c>
      <c r="I15" s="284">
        <f>SUMPRODUCT((Tab4G[Col1]=$E15)*(Tab4G[Col7]=Ya)*(Tab4G[Col6]))</f>
        <v>0</v>
      </c>
    </row>
    <row r="16" spans="1:9" x14ac:dyDescent="0.2">
      <c r="E16" s="298" t="str">
        <f>TabelUtama!H5</f>
        <v>1 Tahun</v>
      </c>
      <c r="F16" s="284">
        <f>SUMPRODUCT((Tab4G[Col1]=$E16)*(Tab4G[Col5]))</f>
        <v>1</v>
      </c>
      <c r="G16" s="284">
        <f>SUMPRODUCT((Tab4G[Col1]=$E16)*(Tab4G[Col6]))</f>
        <v>0.5</v>
      </c>
      <c r="H16" s="284">
        <f>SUMPRODUCT((Tab4G[Col1]=$E16)*(Tab4G[Col7]=Ya)*(Tab4G[Col5]))</f>
        <v>1</v>
      </c>
      <c r="I16" s="284">
        <f>SUMPRODUCT((Tab4G[Col1]=$E16)*(Tab4G[Col7]=Ya)*(Tab4G[Col6]))</f>
        <v>0.5</v>
      </c>
    </row>
    <row r="18" spans="5:9" x14ac:dyDescent="0.2">
      <c r="E18" s="242" t="s">
        <v>721</v>
      </c>
      <c r="F18" s="241"/>
      <c r="G18" s="242"/>
      <c r="H18" s="242"/>
      <c r="I18" s="242"/>
    </row>
  </sheetData>
  <mergeCells count="4">
    <mergeCell ref="E11:E13"/>
    <mergeCell ref="F11:I11"/>
    <mergeCell ref="F12:G12"/>
    <mergeCell ref="H12:I12"/>
  </mergeCells>
  <dataValidations count="3">
    <dataValidation type="list" allowBlank="1" showInputMessage="1" showErrorMessage="1" sqref="C7:C8" xr:uid="{00000000-0002-0000-2600-000000000000}">
      <formula1>OFFSET(_TabRef3_offset_head,MATCH($A$1,_TabRef3_offset_all,0)-1,3,COUNTIF(_TabRef3_offset_all,$A$1),1)</formula1>
    </dataValidation>
    <dataValidation type="list" allowBlank="1" showInputMessage="1" showErrorMessage="1" sqref="H7:H8" xr:uid="{00000000-0002-0000-2600-000001000000}">
      <formula1>TabutPilihanIsi</formula1>
    </dataValidation>
    <dataValidation type="list" allowBlank="1" showInputMessage="1" showErrorMessage="1" sqref="B7:B8" xr:uid="{00000000-0002-0000-2600-000002000000}">
      <formula1>TabutKalenderIsi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9"/>
  <sheetViews>
    <sheetView workbookViewId="0">
      <selection activeCell="I8" sqref="I8"/>
    </sheetView>
  </sheetViews>
  <sheetFormatPr baseColWidth="10" defaultColWidth="9.1640625" defaultRowHeight="15" x14ac:dyDescent="0.2"/>
  <cols>
    <col min="1" max="1" width="4.6640625" style="1" bestFit="1" customWidth="1"/>
    <col min="2" max="2" width="11.6640625" style="1" customWidth="1"/>
    <col min="3" max="3" width="45.6640625" style="1" customWidth="1"/>
    <col min="4" max="4" width="7.5" style="1" hidden="1" customWidth="1"/>
    <col min="5" max="5" width="35.6640625" style="1" customWidth="1"/>
    <col min="6" max="8" width="11" style="1" customWidth="1"/>
    <col min="9" max="16384" width="9.1640625" style="1"/>
  </cols>
  <sheetData>
    <row r="1" spans="1:9" x14ac:dyDescent="0.2">
      <c r="A1" s="299" t="s">
        <v>159</v>
      </c>
      <c r="B1" s="26" t="s">
        <v>356</v>
      </c>
      <c r="C1" s="26"/>
      <c r="D1" s="27"/>
      <c r="E1" s="27"/>
      <c r="F1" s="27"/>
      <c r="G1" s="27"/>
    </row>
    <row r="2" spans="1:9" x14ac:dyDescent="0.2">
      <c r="B2" s="25" t="s">
        <v>159</v>
      </c>
      <c r="C2" s="26"/>
      <c r="D2" s="28"/>
      <c r="E2" s="28"/>
      <c r="F2" s="28"/>
      <c r="G2" s="28"/>
    </row>
    <row r="3" spans="1:9" ht="15" customHeight="1" x14ac:dyDescent="0.2">
      <c r="B3" s="315" t="str">
        <f>INDEX(TabRef2[],MATCH($B$2,TabRef2[Column3],0),4)</f>
        <v>Menjadi anggota dalam suatu Panitia/Badan pada Perguruan Tinggi</v>
      </c>
      <c r="C3" s="300"/>
      <c r="D3" s="300"/>
      <c r="E3" s="300"/>
      <c r="F3" s="300"/>
      <c r="G3" s="300"/>
    </row>
    <row r="5" spans="1:9" x14ac:dyDescent="0.2">
      <c r="B5" s="110" t="s">
        <v>411</v>
      </c>
      <c r="C5" s="110" t="s">
        <v>742</v>
      </c>
      <c r="D5" s="110" t="s">
        <v>530</v>
      </c>
      <c r="E5" s="110" t="s">
        <v>364</v>
      </c>
      <c r="F5" s="110" t="s">
        <v>405</v>
      </c>
      <c r="G5" s="110" t="s">
        <v>12</v>
      </c>
      <c r="H5" s="110" t="s">
        <v>372</v>
      </c>
      <c r="I5" s="110" t="s">
        <v>536</v>
      </c>
    </row>
    <row r="6" spans="1:9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</row>
    <row r="7" spans="1:9" ht="32" hidden="1" x14ac:dyDescent="0.2">
      <c r="B7" s="291"/>
      <c r="C7" s="292" t="s">
        <v>160</v>
      </c>
      <c r="D7" s="288" t="str">
        <f>INDEX(TabRef3[Column3],MATCH(Tab5A[[#This Row],[Col2]],TabRef3[Column4],0),1)</f>
        <v>V.A.1.</v>
      </c>
      <c r="E7" s="287"/>
      <c r="F7" s="289">
        <f>IF(AND(ISTEXT(Tab5A[[#This Row],[Col1]]),ISTEXT(Tab5A[[#This Row],[Col2]]),ISTEXT(Tab5A[[#This Row],[Col4]])),1,0)</f>
        <v>0</v>
      </c>
      <c r="G7" s="289">
        <f>IFERROR(Tab5A[[#This Row],[Col5]]*VLOOKUP(Tab5A[[#This Row],[Col3]],TabRef4[[Column1]:[Column5]],5,FALSE),0)</f>
        <v>0</v>
      </c>
      <c r="H7" s="293"/>
      <c r="I7" s="294"/>
    </row>
    <row r="8" spans="1:9" ht="16" x14ac:dyDescent="0.2">
      <c r="B8" s="81" t="s">
        <v>362</v>
      </c>
      <c r="C8" s="82" t="s">
        <v>161</v>
      </c>
      <c r="D8" s="288" t="str">
        <f>INDEX(TabRef3[Column3],MATCH(Tab5A[[#This Row],[Col2]],TabRef3[Column4],0),1)</f>
        <v>V.A.2.</v>
      </c>
      <c r="E8" s="83" t="s">
        <v>905</v>
      </c>
      <c r="F8" s="289">
        <f>IF(AND(ISTEXT(Tab5A[[#This Row],[Col1]]),ISTEXT(Tab5A[[#This Row],[Col2]]),ISTEXT(Tab5A[[#This Row],[Col4]])),1,0)</f>
        <v>1</v>
      </c>
      <c r="G8" s="289">
        <f>IFERROR(Tab5A[[#This Row],[Col5]]*VLOOKUP(Tab5A[[#This Row],[Col3]],TabRef4[[Column1]:[Column5]],5,FALSE),0)</f>
        <v>2</v>
      </c>
      <c r="H8" s="85" t="s">
        <v>370</v>
      </c>
      <c r="I8" s="86"/>
    </row>
    <row r="9" spans="1:9" x14ac:dyDescent="0.2">
      <c r="B9" s="84" t="s">
        <v>533</v>
      </c>
    </row>
    <row r="11" spans="1:9" x14ac:dyDescent="0.2">
      <c r="E11" s="552"/>
      <c r="F11" s="554" t="s">
        <v>535</v>
      </c>
      <c r="G11" s="556"/>
      <c r="H11" s="556"/>
      <c r="I11" s="555"/>
    </row>
    <row r="12" spans="1:9" x14ac:dyDescent="0.2">
      <c r="E12" s="552"/>
      <c r="F12" s="552" t="s">
        <v>401</v>
      </c>
      <c r="G12" s="552"/>
      <c r="H12" s="554" t="s">
        <v>402</v>
      </c>
      <c r="I12" s="555"/>
    </row>
    <row r="13" spans="1:9" x14ac:dyDescent="0.2">
      <c r="E13" s="552"/>
      <c r="F13" s="273" t="s">
        <v>405</v>
      </c>
      <c r="G13" s="273" t="s">
        <v>12</v>
      </c>
      <c r="H13" s="273" t="s">
        <v>405</v>
      </c>
      <c r="I13" s="273" t="s">
        <v>12</v>
      </c>
    </row>
    <row r="14" spans="1:9" x14ac:dyDescent="0.2">
      <c r="E14" s="298" t="str">
        <f>TabelUtama!H3</f>
        <v>Semester 1</v>
      </c>
      <c r="F14" s="273">
        <f>SUMPRODUCT((Tab5A[Col1]=$E14)*(Tab5A[Col5]))</f>
        <v>0</v>
      </c>
      <c r="G14" s="273">
        <f>SUMPRODUCT((Tab5A[Col1]=$E14)*(Tab5A[Col6]))</f>
        <v>0</v>
      </c>
      <c r="H14" s="273">
        <f>SUMPRODUCT((Tab5A[Col1]=$E14)*(Tab5A[Col7]=Ya)*(Tab5A[Col5]))</f>
        <v>0</v>
      </c>
      <c r="I14" s="273">
        <f>SUMPRODUCT((Tab5A[Col1]=$E14)*(Tab5A[Col7]=Ya)*(Tab5A[Col6]))</f>
        <v>0</v>
      </c>
    </row>
    <row r="15" spans="1:9" x14ac:dyDescent="0.2">
      <c r="E15" s="298" t="str">
        <f>TabelUtama!H4</f>
        <v>Semester 2</v>
      </c>
      <c r="F15" s="273">
        <f>SUMPRODUCT((Tab5A[Col1]=$E15)*(Tab5A[Col5]))</f>
        <v>1</v>
      </c>
      <c r="G15" s="273">
        <f>SUMPRODUCT((Tab5A[Col1]=$E15)*(Tab5A[Col6]))</f>
        <v>2</v>
      </c>
      <c r="H15" s="273">
        <f>SUMPRODUCT((Tab5A[Col1]=$E15)*(Tab5A[Col7]=Ya)*(Tab5A[Col5]))</f>
        <v>1</v>
      </c>
      <c r="I15" s="273">
        <f>SUMPRODUCT((Tab5A[Col1]=$E15)*(Tab5A[Col7]=Ya)*(Tab5A[Col6]))</f>
        <v>2</v>
      </c>
    </row>
    <row r="16" spans="1:9" x14ac:dyDescent="0.2">
      <c r="E16" s="298" t="str">
        <f>TabelUtama!H5</f>
        <v>1 Tahun</v>
      </c>
      <c r="F16" s="273">
        <f>SUMPRODUCT((Tab5A[Col1]=$E16)*(Tab5A[Col5]))</f>
        <v>0</v>
      </c>
      <c r="G16" s="273">
        <f>SUMPRODUCT((Tab5A[Col1]=$E16)*(Tab5A[Col6]))</f>
        <v>0</v>
      </c>
      <c r="H16" s="273">
        <f>SUMPRODUCT((Tab5A[Col1]=$E16)*(Tab5A[Col7]=Ya)*(Tab5A[Col5]))</f>
        <v>0</v>
      </c>
      <c r="I16" s="273">
        <f>SUMPRODUCT((Tab5A[Col1]=$E16)*(Tab5A[Col7]=Ya)*(Tab5A[Col6]))</f>
        <v>0</v>
      </c>
    </row>
    <row r="18" spans="5:13" x14ac:dyDescent="0.2">
      <c r="E18" s="242" t="s">
        <v>721</v>
      </c>
      <c r="F18" s="241"/>
      <c r="G18" s="242"/>
      <c r="H18" s="242"/>
      <c r="I18" s="242"/>
    </row>
    <row r="19" spans="5:13" x14ac:dyDescent="0.2">
      <c r="F19"/>
      <c r="G19"/>
      <c r="H19"/>
      <c r="I19"/>
      <c r="J19"/>
      <c r="K19"/>
      <c r="L19"/>
      <c r="M19"/>
    </row>
  </sheetData>
  <mergeCells count="4">
    <mergeCell ref="E11:E13"/>
    <mergeCell ref="F11:I11"/>
    <mergeCell ref="F12:G12"/>
    <mergeCell ref="H12:I12"/>
  </mergeCells>
  <dataValidations count="3">
    <dataValidation type="list" allowBlank="1" showInputMessage="1" showErrorMessage="1" sqref="B7:B8" xr:uid="{00000000-0002-0000-2700-000000000000}">
      <formula1>TabutKalenderIsi</formula1>
    </dataValidation>
    <dataValidation type="list" allowBlank="1" showInputMessage="1" showErrorMessage="1" sqref="H7:H8" xr:uid="{00000000-0002-0000-2700-000001000000}">
      <formula1>TabutPilihanIsi</formula1>
    </dataValidation>
    <dataValidation type="list" allowBlank="1" showInputMessage="1" showErrorMessage="1" sqref="C7:C8" xr:uid="{00000000-0002-0000-2700-000002000000}">
      <formula1>OFFSET(_TabRef3_offset_head,MATCH($A$1,_TabRef3_offset_all,0)-1,3,COUNTIF(_TabRef3_offset_all,$A$1),1)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18"/>
  <sheetViews>
    <sheetView workbookViewId="0">
      <selection activeCell="G8" sqref="G8"/>
    </sheetView>
  </sheetViews>
  <sheetFormatPr baseColWidth="10" defaultColWidth="9.1640625" defaultRowHeight="15" x14ac:dyDescent="0.2"/>
  <cols>
    <col min="1" max="1" width="4.5" style="1" bestFit="1" customWidth="1"/>
    <col min="2" max="2" width="11.6640625" style="1" customWidth="1"/>
    <col min="3" max="3" width="45.6640625" style="1" customWidth="1"/>
    <col min="4" max="4" width="7.5" style="1" hidden="1" customWidth="1"/>
    <col min="5" max="5" width="34.33203125" style="1" customWidth="1"/>
    <col min="6" max="6" width="9.83203125" style="1" hidden="1" customWidth="1"/>
    <col min="7" max="7" width="35.6640625" style="1" customWidth="1"/>
    <col min="8" max="10" width="11" style="1" customWidth="1"/>
    <col min="11" max="16384" width="9.1640625" style="1"/>
  </cols>
  <sheetData>
    <row r="1" spans="1:11" x14ac:dyDescent="0.2">
      <c r="A1" s="299" t="s">
        <v>162</v>
      </c>
      <c r="B1" s="26" t="s">
        <v>356</v>
      </c>
      <c r="C1" s="26"/>
      <c r="D1" s="27"/>
      <c r="E1" s="27"/>
      <c r="F1" s="27"/>
      <c r="G1" s="27"/>
    </row>
    <row r="2" spans="1:11" x14ac:dyDescent="0.2">
      <c r="B2" s="25" t="s">
        <v>162</v>
      </c>
      <c r="C2" s="26"/>
      <c r="D2" s="28"/>
      <c r="E2" s="28"/>
      <c r="F2" s="28"/>
      <c r="G2" s="28"/>
    </row>
    <row r="3" spans="1:11" ht="15" customHeight="1" x14ac:dyDescent="0.2">
      <c r="B3" s="315" t="str">
        <f>INDEX(TabRef2[],MATCH($B$2,TabRef2[Column3],0),4)</f>
        <v>Menjadi anggota panitia/badan pada lembaga pemerintah</v>
      </c>
      <c r="C3" s="317"/>
      <c r="D3" s="317"/>
      <c r="E3" s="317"/>
      <c r="F3" s="317"/>
      <c r="G3" s="317"/>
    </row>
    <row r="5" spans="1:11" x14ac:dyDescent="0.2">
      <c r="B5" s="111" t="s">
        <v>411</v>
      </c>
      <c r="C5" s="111" t="s">
        <v>742</v>
      </c>
      <c r="D5" s="111" t="s">
        <v>530</v>
      </c>
      <c r="E5" s="111" t="s">
        <v>0</v>
      </c>
      <c r="F5" s="111"/>
      <c r="G5" s="111" t="s">
        <v>743</v>
      </c>
      <c r="H5" s="111" t="s">
        <v>405</v>
      </c>
      <c r="I5" s="111" t="s">
        <v>12</v>
      </c>
      <c r="J5" s="111" t="s">
        <v>372</v>
      </c>
      <c r="K5" s="111" t="s">
        <v>536</v>
      </c>
    </row>
    <row r="6" spans="1:11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  <c r="J6" s="59" t="s">
        <v>730</v>
      </c>
      <c r="K6" s="59" t="s">
        <v>731</v>
      </c>
    </row>
    <row r="7" spans="1:11" ht="16" hidden="1" x14ac:dyDescent="0.2">
      <c r="B7" s="302"/>
      <c r="C7" s="303" t="s">
        <v>163</v>
      </c>
      <c r="D7" s="288" t="str">
        <f>INDEX(TabRef3[Column3],MATCH(Tab5B[[#This Row],[Col2]],TabRef3[Column4],0),1)</f>
        <v>V.B.1.</v>
      </c>
      <c r="E7" s="303" t="s">
        <v>306</v>
      </c>
      <c r="F7" s="288" t="str">
        <f t="array" ref="F7">INDEX(TabRef4[Column3],MATCH(1,(Tab5B[[#This Row],[Col3]]=TabRef4[Column1])*(Tab5B[[#This Row],[Col4]]=TabRef4[Column4]),0),1)</f>
        <v>V.B.1.a.</v>
      </c>
      <c r="G7" s="288"/>
      <c r="H7" s="289">
        <f>IF(AND(ISTEXT(Tab5B[[#This Row],[Col1]]),ISTEXT(Tab5B[[#This Row],[Col2]]),ISTEXT(Tab5B[[#This Row],[Col4]]),ISTEXT(Tab5B[[#This Row],[Col6]])),1,0)</f>
        <v>0</v>
      </c>
      <c r="I7" s="289">
        <f>IFERROR(Tab5B[[#This Row],[Col7]]*VLOOKUP(Tab5B[[#This Row],[Col5]],TabRef4[[Column3]:[Column5]],3,FALSE),0)</f>
        <v>0</v>
      </c>
      <c r="J7" s="304"/>
      <c r="K7" s="305"/>
    </row>
    <row r="8" spans="1:11" x14ac:dyDescent="0.2">
      <c r="B8" s="81"/>
      <c r="C8" s="82"/>
      <c r="D8" s="288" t="e">
        <f>INDEX(TabRef3[Column3],MATCH(Tab5B[[#This Row],[Col2]],TabRef3[Column4],0),1)</f>
        <v>#N/A</v>
      </c>
      <c r="E8" s="82"/>
      <c r="F8" s="288" t="e">
        <f t="array" ref="F8">INDEX(TabRef4[Column3],MATCH(1,(Tab5B[[#This Row],[Col3]]=TabRef4[Column1])*(Tab5B[[#This Row],[Col4]]=TabRef4[Column4]),0),1)</f>
        <v>#N/A</v>
      </c>
      <c r="G8" s="83"/>
      <c r="H8" s="289">
        <f>IF(AND(ISTEXT(Tab5B[[#This Row],[Col1]]),ISTEXT(Tab5B[[#This Row],[Col2]]),ISTEXT(Tab5B[[#This Row],[Col4]]),ISTEXT(Tab5B[[#This Row],[Col6]])),1,0)</f>
        <v>0</v>
      </c>
      <c r="I8" s="290">
        <f>IFERROR(Tab5B[[#This Row],[Col7]]*VLOOKUP(Tab5B[[#This Row],[Col5]],TabRef4[[Column3]:[Column5]],3,FALSE),0)</f>
        <v>0</v>
      </c>
      <c r="J8" s="85" t="s">
        <v>370</v>
      </c>
      <c r="K8" s="86"/>
    </row>
    <row r="9" spans="1:11" x14ac:dyDescent="0.2">
      <c r="B9" s="84" t="s">
        <v>533</v>
      </c>
    </row>
    <row r="11" spans="1:11" x14ac:dyDescent="0.2">
      <c r="G11" s="552"/>
      <c r="H11" s="554" t="s">
        <v>535</v>
      </c>
      <c r="I11" s="556"/>
      <c r="J11" s="556"/>
      <c r="K11" s="555"/>
    </row>
    <row r="12" spans="1:11" x14ac:dyDescent="0.2">
      <c r="G12" s="552"/>
      <c r="H12" s="552" t="s">
        <v>401</v>
      </c>
      <c r="I12" s="552"/>
      <c r="J12" s="554" t="s">
        <v>402</v>
      </c>
      <c r="K12" s="555"/>
    </row>
    <row r="13" spans="1:11" x14ac:dyDescent="0.2">
      <c r="G13" s="552"/>
      <c r="H13" s="273" t="s">
        <v>405</v>
      </c>
      <c r="I13" s="273" t="s">
        <v>12</v>
      </c>
      <c r="J13" s="273" t="s">
        <v>405</v>
      </c>
      <c r="K13" s="273" t="s">
        <v>12</v>
      </c>
    </row>
    <row r="14" spans="1:11" x14ac:dyDescent="0.2">
      <c r="G14" s="298" t="str">
        <f>TabelUtama!H3</f>
        <v>Semester 1</v>
      </c>
      <c r="H14" s="273">
        <f>SUMPRODUCT((Tab5B[Col1]=$G14)*(Tab5B[Col7]))</f>
        <v>0</v>
      </c>
      <c r="I14" s="273">
        <f>SUMPRODUCT((Tab5B[Col1]=$G14)*(Tab5B[Col8]))</f>
        <v>0</v>
      </c>
      <c r="J14" s="273">
        <f>SUMPRODUCT((Tab5B[Col1]=$G14)*(Tab5B[Col9]=Ya)*(Tab5B[Col7]))</f>
        <v>0</v>
      </c>
      <c r="K14" s="273">
        <f>SUMPRODUCT((Tab5B[Col1]=$G14)*(Tab5B[Col9]=Ya)*(Tab5B[Col8]))</f>
        <v>0</v>
      </c>
    </row>
    <row r="15" spans="1:11" x14ac:dyDescent="0.2">
      <c r="G15" s="298" t="str">
        <f>TabelUtama!H4</f>
        <v>Semester 2</v>
      </c>
      <c r="H15" s="273">
        <f>SUMPRODUCT((Tab5B[Col1]=$G15)*(Tab5B[Col7]))</f>
        <v>0</v>
      </c>
      <c r="I15" s="273">
        <f>SUMPRODUCT((Tab5B[Col1]=$G15)*(Tab5B[Col8]))</f>
        <v>0</v>
      </c>
      <c r="J15" s="273">
        <f>SUMPRODUCT((Tab5B[Col1]=$G15)*(Tab5B[Col9]=Ya)*(Tab5B[Col7]))</f>
        <v>0</v>
      </c>
      <c r="K15" s="273">
        <f>SUMPRODUCT((Tab5B[Col1]=$G15)*(Tab5B[Col9]=Ya)*(Tab5B[Col8]))</f>
        <v>0</v>
      </c>
    </row>
    <row r="16" spans="1:11" x14ac:dyDescent="0.2">
      <c r="G16" s="298" t="str">
        <f>TabelUtama!H5</f>
        <v>1 Tahun</v>
      </c>
      <c r="H16" s="273">
        <f>SUMPRODUCT((Tab5B[Col1]=$G16)*(Tab5B[Col7]))</f>
        <v>0</v>
      </c>
      <c r="I16" s="273">
        <f>SUMPRODUCT((Tab5B[Col1]=$G16)*(Tab5B[Col8]))</f>
        <v>0</v>
      </c>
      <c r="J16" s="273">
        <f>SUMPRODUCT((Tab5B[Col1]=$G16)*(Tab5B[Col9]=Ya)*(Tab5B[Col7]))</f>
        <v>0</v>
      </c>
      <c r="K16" s="273">
        <f>SUMPRODUCT((Tab5B[Col1]=$G16)*(Tab5B[Col9]=Ya)*(Tab5B[Col8]))</f>
        <v>0</v>
      </c>
    </row>
    <row r="18" spans="7:11" x14ac:dyDescent="0.2">
      <c r="G18" s="242" t="s">
        <v>721</v>
      </c>
      <c r="H18" s="241"/>
      <c r="I18" s="242"/>
      <c r="J18" s="242"/>
      <c r="K18" s="242"/>
    </row>
  </sheetData>
  <mergeCells count="4">
    <mergeCell ref="G11:G13"/>
    <mergeCell ref="H11:K11"/>
    <mergeCell ref="H12:I12"/>
    <mergeCell ref="J12:K12"/>
  </mergeCells>
  <dataValidations count="4">
    <dataValidation type="list" allowBlank="1" showInputMessage="1" showErrorMessage="1" sqref="C7:C8" xr:uid="{00000000-0002-0000-2800-000000000000}">
      <formula1>OFFSET(_TabRef3_offset_head,MATCH($A$1,_TabRef3_offset_all,0)-1,3,COUNTIF(_TabRef3_offset_all,$A$1),1)</formula1>
    </dataValidation>
    <dataValidation type="list" allowBlank="1" showInputMessage="1" showErrorMessage="1" sqref="J7:J8" xr:uid="{00000000-0002-0000-2800-000001000000}">
      <formula1>TabutPilihanIsi</formula1>
    </dataValidation>
    <dataValidation type="list" allowBlank="1" showInputMessage="1" showErrorMessage="1" sqref="B7:B8" xr:uid="{00000000-0002-0000-2800-000002000000}">
      <formula1>TabutKalenderIsi</formula1>
    </dataValidation>
    <dataValidation type="list" allowBlank="1" showInputMessage="1" showErrorMessage="1" sqref="E7:E8" xr:uid="{00000000-0002-0000-2800-000003000000}">
      <formula1>OFFSET(_TabRef4_offset_head,MATCH(D7,_TabRef4_offset_all,0)-1,3,COUNTIF(_TabRef4_offset_all,D7),1)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18"/>
  <sheetViews>
    <sheetView workbookViewId="0">
      <selection activeCell="G8" sqref="G8"/>
    </sheetView>
  </sheetViews>
  <sheetFormatPr baseColWidth="10" defaultColWidth="9.1640625" defaultRowHeight="15" x14ac:dyDescent="0.2"/>
  <cols>
    <col min="1" max="1" width="4.5" style="1" bestFit="1" customWidth="1"/>
    <col min="2" max="2" width="11.6640625" style="1" customWidth="1"/>
    <col min="3" max="3" width="45.6640625" style="1" customWidth="1"/>
    <col min="4" max="4" width="7.5" style="1" hidden="1" customWidth="1"/>
    <col min="5" max="5" width="34.33203125" style="1" customWidth="1"/>
    <col min="6" max="6" width="9.83203125" style="1" hidden="1" customWidth="1"/>
    <col min="7" max="7" width="35.6640625" style="1" customWidth="1"/>
    <col min="8" max="10" width="11" style="1" customWidth="1"/>
    <col min="11" max="16384" width="9.1640625" style="1"/>
  </cols>
  <sheetData>
    <row r="1" spans="1:11" x14ac:dyDescent="0.2">
      <c r="A1" s="299" t="s">
        <v>165</v>
      </c>
      <c r="B1" s="26" t="s">
        <v>356</v>
      </c>
      <c r="C1" s="26"/>
      <c r="D1" s="27"/>
      <c r="E1" s="27"/>
      <c r="F1" s="27"/>
      <c r="G1" s="27"/>
    </row>
    <row r="2" spans="1:11" x14ac:dyDescent="0.2">
      <c r="B2" s="25" t="s">
        <v>165</v>
      </c>
      <c r="C2" s="26"/>
      <c r="D2" s="28"/>
      <c r="E2" s="28"/>
      <c r="F2" s="28"/>
      <c r="G2" s="28"/>
    </row>
    <row r="3" spans="1:11" ht="15" customHeight="1" x14ac:dyDescent="0.2">
      <c r="B3" s="315" t="str">
        <f>INDEX(TabRef2[],MATCH($B$2,TabRef2[Column3],0),4)</f>
        <v>Menjadi anggota organisasi profesi</v>
      </c>
      <c r="C3" s="317"/>
      <c r="D3" s="317"/>
      <c r="E3" s="317"/>
      <c r="F3" s="317"/>
      <c r="G3" s="317"/>
    </row>
    <row r="5" spans="1:11" x14ac:dyDescent="0.2">
      <c r="B5" s="112" t="s">
        <v>411</v>
      </c>
      <c r="C5" s="112" t="s">
        <v>744</v>
      </c>
      <c r="D5" s="112" t="s">
        <v>530</v>
      </c>
      <c r="E5" s="112" t="s">
        <v>0</v>
      </c>
      <c r="F5" s="112"/>
      <c r="G5" s="112" t="s">
        <v>745</v>
      </c>
      <c r="H5" s="112" t="s">
        <v>405</v>
      </c>
      <c r="I5" s="112" t="s">
        <v>12</v>
      </c>
      <c r="J5" s="112" t="s">
        <v>372</v>
      </c>
      <c r="K5" s="112" t="s">
        <v>536</v>
      </c>
    </row>
    <row r="6" spans="1:11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  <c r="J6" s="59" t="s">
        <v>730</v>
      </c>
      <c r="K6" s="59" t="s">
        <v>731</v>
      </c>
    </row>
    <row r="7" spans="1:11" ht="16" hidden="1" x14ac:dyDescent="0.2">
      <c r="B7" s="302"/>
      <c r="C7" s="303" t="s">
        <v>166</v>
      </c>
      <c r="D7" s="288" t="str">
        <f>INDEX(TabRef3[Column3],MATCH(Tab5C[[#This Row],[Col2]],TabRef3[Column4],0),1)</f>
        <v>V.C.1.</v>
      </c>
      <c r="E7" s="303" t="s">
        <v>310</v>
      </c>
      <c r="F7" s="288" t="str">
        <f t="array" ref="F7">INDEX(TabRef4[Column3],MATCH(1,(Tab5C[[#This Row],[Col3]]=TabRef4[Column1])*(Tab5C[[#This Row],[Col4]]=TabRef4[Column4]),0),1)</f>
        <v>V.C.1.a.</v>
      </c>
      <c r="G7" s="288"/>
      <c r="H7" s="289">
        <f>IF(AND(ISTEXT(Tab5C[[#This Row],[Col1]]),ISTEXT(Tab5C[[#This Row],[Col2]]),ISTEXT(Tab5C[[#This Row],[Col4]]),ISTEXT(Tab5C[[#This Row],[Col6]])),1,0)</f>
        <v>0</v>
      </c>
      <c r="I7" s="289">
        <f>IFERROR(Tab5C[[#This Row],[Col7]]*VLOOKUP(Tab5C[[#This Row],[Col5]],TabRef4[[Column3]:[Column5]],3,FALSE),0)</f>
        <v>0</v>
      </c>
      <c r="J7" s="304"/>
      <c r="K7" s="305"/>
    </row>
    <row r="8" spans="1:11" x14ac:dyDescent="0.2">
      <c r="B8" s="81"/>
      <c r="C8" s="82"/>
      <c r="D8" s="288" t="e">
        <f>INDEX(TabRef3[Column3],MATCH(Tab5C[[#This Row],[Col2]],TabRef3[Column4],0),1)</f>
        <v>#N/A</v>
      </c>
      <c r="E8" s="82"/>
      <c r="F8" s="288" t="e">
        <f t="array" ref="F8">INDEX(TabRef4[Column3],MATCH(1,(Tab5C[[#This Row],[Col3]]=TabRef4[Column1])*(Tab5C[[#This Row],[Col4]]=TabRef4[Column4]),0),1)</f>
        <v>#N/A</v>
      </c>
      <c r="G8" s="83"/>
      <c r="H8" s="289">
        <f>IF(AND(ISTEXT(Tab5C[[#This Row],[Col1]]),ISTEXT(Tab5C[[#This Row],[Col2]]),ISTEXT(Tab5C[[#This Row],[Col4]]),ISTEXT(Tab5C[[#This Row],[Col6]])),1,0)</f>
        <v>0</v>
      </c>
      <c r="I8" s="290">
        <f>IFERROR(Tab5C[[#This Row],[Col7]]*VLOOKUP(Tab5C[[#This Row],[Col5]],TabRef4[[Column3]:[Column5]],3,FALSE),0)</f>
        <v>0</v>
      </c>
      <c r="J8" s="85" t="s">
        <v>370</v>
      </c>
      <c r="K8" s="86"/>
    </row>
    <row r="9" spans="1:11" x14ac:dyDescent="0.2">
      <c r="B9" s="84" t="s">
        <v>533</v>
      </c>
    </row>
    <row r="11" spans="1:11" x14ac:dyDescent="0.2">
      <c r="G11" s="552"/>
      <c r="H11" s="554" t="s">
        <v>535</v>
      </c>
      <c r="I11" s="556"/>
      <c r="J11" s="556"/>
      <c r="K11" s="555"/>
    </row>
    <row r="12" spans="1:11" x14ac:dyDescent="0.2">
      <c r="G12" s="552"/>
      <c r="H12" s="552" t="s">
        <v>401</v>
      </c>
      <c r="I12" s="552"/>
      <c r="J12" s="554" t="s">
        <v>402</v>
      </c>
      <c r="K12" s="555"/>
    </row>
    <row r="13" spans="1:11" x14ac:dyDescent="0.2">
      <c r="G13" s="552"/>
      <c r="H13" s="273" t="s">
        <v>405</v>
      </c>
      <c r="I13" s="273" t="s">
        <v>12</v>
      </c>
      <c r="J13" s="273" t="s">
        <v>405</v>
      </c>
      <c r="K13" s="273" t="s">
        <v>12</v>
      </c>
    </row>
    <row r="14" spans="1:11" x14ac:dyDescent="0.2">
      <c r="G14" s="298" t="str">
        <f>TabelUtama!H3</f>
        <v>Semester 1</v>
      </c>
      <c r="H14" s="273">
        <f>SUMPRODUCT((Tab5C[Col1]=$G14)*(Tab5C[Col7]))</f>
        <v>0</v>
      </c>
      <c r="I14" s="273">
        <f>SUMPRODUCT((Tab5C[Col1]=$G14)*(Tab5C[Col8]))</f>
        <v>0</v>
      </c>
      <c r="J14" s="273">
        <f>SUMPRODUCT((Tab5C[Col1]=$G14)*(Tab5C[Col9]=Ya)*(Tab5C[Col7]))</f>
        <v>0</v>
      </c>
      <c r="K14" s="273">
        <f>SUMPRODUCT((Tab5C[Col1]=$G14)*(Tab5C[Col9]=Ya)*(Tab5C[Col8]))</f>
        <v>0</v>
      </c>
    </row>
    <row r="15" spans="1:11" x14ac:dyDescent="0.2">
      <c r="G15" s="298" t="str">
        <f>TabelUtama!H4</f>
        <v>Semester 2</v>
      </c>
      <c r="H15" s="273">
        <f>SUMPRODUCT((Tab5C[Col1]=$G15)*(Tab5C[Col7]))</f>
        <v>0</v>
      </c>
      <c r="I15" s="273">
        <f>SUMPRODUCT((Tab5C[Col1]=$G15)*(Tab5C[Col8]))</f>
        <v>0</v>
      </c>
      <c r="J15" s="273">
        <f>SUMPRODUCT((Tab5C[Col1]=$G15)*(Tab5C[Col9]=Ya)*(Tab5C[Col7]))</f>
        <v>0</v>
      </c>
      <c r="K15" s="273">
        <f>SUMPRODUCT((Tab5C[Col1]=$G15)*(Tab5C[Col9]=Ya)*(Tab5C[Col8]))</f>
        <v>0</v>
      </c>
    </row>
    <row r="16" spans="1:11" x14ac:dyDescent="0.2">
      <c r="G16" s="298" t="str">
        <f>TabelUtama!H5</f>
        <v>1 Tahun</v>
      </c>
      <c r="H16" s="273">
        <f>SUMPRODUCT((Tab5C[Col1]=$G16)*(Tab5C[Col7]))</f>
        <v>0</v>
      </c>
      <c r="I16" s="273">
        <f>SUMPRODUCT((Tab5C[Col1]=$G16)*(Tab5C[Col8]))</f>
        <v>0</v>
      </c>
      <c r="J16" s="273">
        <f>SUMPRODUCT((Tab5C[Col1]=$G16)*(Tab5C[Col9]=Ya)*(Tab5C[Col7]))</f>
        <v>0</v>
      </c>
      <c r="K16" s="273">
        <f>SUMPRODUCT((Tab5C[Col1]=$G16)*(Tab5C[Col9]=Ya)*(Tab5C[Col8]))</f>
        <v>0</v>
      </c>
    </row>
    <row r="18" spans="7:11" x14ac:dyDescent="0.2">
      <c r="G18" s="242" t="s">
        <v>721</v>
      </c>
      <c r="H18" s="241"/>
      <c r="I18" s="242"/>
      <c r="J18" s="242"/>
      <c r="K18" s="242"/>
    </row>
  </sheetData>
  <mergeCells count="4">
    <mergeCell ref="G11:G13"/>
    <mergeCell ref="H11:K11"/>
    <mergeCell ref="H12:I12"/>
    <mergeCell ref="J12:K12"/>
  </mergeCells>
  <dataValidations count="4">
    <dataValidation type="list" allowBlank="1" showInputMessage="1" showErrorMessage="1" sqref="B7:B8" xr:uid="{00000000-0002-0000-2900-000000000000}">
      <formula1>TabutKalenderIsi</formula1>
    </dataValidation>
    <dataValidation type="list" allowBlank="1" showInputMessage="1" showErrorMessage="1" sqref="J7:J8" xr:uid="{00000000-0002-0000-2900-000001000000}">
      <formula1>TabutPilihanIsi</formula1>
    </dataValidation>
    <dataValidation type="list" allowBlank="1" showInputMessage="1" showErrorMessage="1" sqref="C7:C8" xr:uid="{00000000-0002-0000-2900-000002000000}">
      <formula1>OFFSET(_TabRef3_offset_head,MATCH($A$1,_TabRef3_offset_all,0)-1,3,COUNTIF(_TabRef3_offset_all,$A$1),1)</formula1>
    </dataValidation>
    <dataValidation type="list" allowBlank="1" showInputMessage="1" showErrorMessage="1" sqref="E7:E8" xr:uid="{00000000-0002-0000-2900-000003000000}">
      <formula1>OFFSET(_TabRef4_offset_head,MATCH(D7,_TabRef4_offset_all,0)-1,3,COUNTIF(_TabRef4_offset_all,D7),1)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13"/>
  <sheetViews>
    <sheetView workbookViewId="0">
      <selection activeCell="I21" sqref="I21"/>
    </sheetView>
  </sheetViews>
  <sheetFormatPr baseColWidth="10" defaultColWidth="9.1640625" defaultRowHeight="15" x14ac:dyDescent="0.2"/>
  <cols>
    <col min="1" max="1" width="4.6640625" style="1" bestFit="1" customWidth="1"/>
    <col min="2" max="2" width="12.5" style="1" customWidth="1"/>
    <col min="3" max="3" width="44.5" style="1" customWidth="1"/>
    <col min="4" max="5" width="7.6640625" style="1" customWidth="1"/>
    <col min="6" max="6" width="11" style="1" customWidth="1"/>
    <col min="7" max="7" width="2.5" style="1" customWidth="1"/>
    <col min="8" max="8" width="14.83203125" style="1" customWidth="1"/>
    <col min="9" max="16384" width="9.1640625" style="1"/>
  </cols>
  <sheetData>
    <row r="1" spans="1:12" x14ac:dyDescent="0.2">
      <c r="A1" s="299" t="s">
        <v>168</v>
      </c>
      <c r="B1" s="26" t="s">
        <v>356</v>
      </c>
      <c r="C1" s="26"/>
      <c r="D1" s="27"/>
      <c r="E1" s="27"/>
      <c r="F1" s="27"/>
      <c r="G1" s="27"/>
    </row>
    <row r="2" spans="1:12" x14ac:dyDescent="0.2">
      <c r="B2" s="25" t="s">
        <v>168</v>
      </c>
      <c r="C2" s="26"/>
      <c r="D2" s="28"/>
      <c r="E2" s="28"/>
      <c r="F2" s="28"/>
      <c r="G2" s="28"/>
    </row>
    <row r="3" spans="1:12" ht="15" customHeight="1" x14ac:dyDescent="0.2">
      <c r="B3" s="315" t="str">
        <f>INDEX(TabRef2[],MATCH($B$2,TabRef2[Column3],0),4)</f>
        <v>Mewakili Perguruan Tinggi/Lembaga Pemerintah duduk dalam Panitia Antar Lembaga, tiap kepanitiaan</v>
      </c>
      <c r="C3" s="317"/>
      <c r="D3" s="317"/>
      <c r="E3" s="317"/>
      <c r="F3" s="317"/>
      <c r="G3" s="317"/>
    </row>
    <row r="5" spans="1:12" x14ac:dyDescent="0.2">
      <c r="B5" s="112" t="s">
        <v>411</v>
      </c>
      <c r="C5" s="112" t="s">
        <v>364</v>
      </c>
      <c r="D5" s="112" t="s">
        <v>405</v>
      </c>
      <c r="E5" s="112" t="s">
        <v>12</v>
      </c>
      <c r="F5" s="112" t="s">
        <v>372</v>
      </c>
      <c r="H5" s="243"/>
      <c r="I5" s="554" t="s">
        <v>420</v>
      </c>
      <c r="J5" s="556"/>
      <c r="K5" s="556"/>
      <c r="L5" s="555"/>
    </row>
    <row r="6" spans="1:12" ht="15" hidden="1" customHeight="1" x14ac:dyDescent="0.2">
      <c r="B6" s="50" t="s">
        <v>722</v>
      </c>
      <c r="C6" s="50" t="s">
        <v>723</v>
      </c>
      <c r="D6" s="50" t="s">
        <v>724</v>
      </c>
      <c r="E6" s="50" t="s">
        <v>725</v>
      </c>
      <c r="F6" s="50" t="s">
        <v>726</v>
      </c>
      <c r="H6" s="244"/>
      <c r="I6" s="273"/>
      <c r="J6" s="273"/>
      <c r="K6" s="273"/>
      <c r="L6" s="273"/>
    </row>
    <row r="7" spans="1:12" hidden="1" x14ac:dyDescent="0.2">
      <c r="B7" s="273"/>
      <c r="C7" s="251"/>
      <c r="D7" s="273">
        <f>IF(AND(ISTEXT(Tab5D[[#This Row],[Col1]]),ISTEXT(Tab5D[[#This Row],[Col2]])),1,0)</f>
        <v>0</v>
      </c>
      <c r="E7" s="273">
        <f>Tab5D[[#This Row],[Col3]]*VLOOKUP(VLOOKUP(A$1,TabRef3[],3,FALSE),TabRef4[],5,FALSE)</f>
        <v>0</v>
      </c>
      <c r="F7" s="273" t="s">
        <v>370</v>
      </c>
      <c r="H7" s="244"/>
      <c r="I7" s="273"/>
      <c r="J7" s="273"/>
      <c r="K7" s="273"/>
      <c r="L7" s="273"/>
    </row>
    <row r="8" spans="1:12" x14ac:dyDescent="0.2">
      <c r="B8" s="49"/>
      <c r="C8" s="22"/>
      <c r="D8" s="273">
        <f>IF(AND(ISTEXT(Tab5D[[#This Row],[Col1]]),ISTEXT(Tab5D[[#This Row],[Col2]])),1,0)</f>
        <v>0</v>
      </c>
      <c r="E8" s="273">
        <f>Tab5D[[#This Row],[Col3]]*VLOOKUP(VLOOKUP(A$1,TabRef3[],3,FALSE),TabRef4[],5,FALSE)</f>
        <v>0</v>
      </c>
      <c r="F8" s="49" t="s">
        <v>370</v>
      </c>
      <c r="H8" s="244"/>
      <c r="I8" s="552" t="s">
        <v>401</v>
      </c>
      <c r="J8" s="552"/>
      <c r="K8" s="552" t="s">
        <v>402</v>
      </c>
      <c r="L8" s="552"/>
    </row>
    <row r="9" spans="1:12" x14ac:dyDescent="0.2">
      <c r="H9" s="245"/>
      <c r="I9" s="273" t="s">
        <v>405</v>
      </c>
      <c r="J9" s="273" t="s">
        <v>12</v>
      </c>
      <c r="K9" s="273" t="s">
        <v>405</v>
      </c>
      <c r="L9" s="273" t="s">
        <v>12</v>
      </c>
    </row>
    <row r="10" spans="1:12" x14ac:dyDescent="0.2">
      <c r="H10" s="273" t="str">
        <f>TabelUtama!H3</f>
        <v>Semester 1</v>
      </c>
      <c r="I10" s="273">
        <f>SUMPRODUCT((Tab5D[Col1]=$H10)*(Tab5D[Col3]))</f>
        <v>0</v>
      </c>
      <c r="J10" s="273">
        <f>SUMPRODUCT((Tab5D[Col1]=$H10)*(Tab5D[Col4]))</f>
        <v>0</v>
      </c>
      <c r="K10" s="273">
        <f>SUMPRODUCT((Tab5D[Col1]=H10)*(Tab5D[Col5]=TabelUtama!$J$3)*(Tab5D[Col3]))</f>
        <v>0</v>
      </c>
      <c r="L10" s="273">
        <f>IF(K10&gt;0,MAX(Tab5D[Col4]),0)</f>
        <v>0</v>
      </c>
    </row>
    <row r="11" spans="1:12" x14ac:dyDescent="0.2">
      <c r="H11" s="273" t="str">
        <f>TabelUtama!H4</f>
        <v>Semester 2</v>
      </c>
      <c r="I11" s="273">
        <f>SUMPRODUCT((Tab5D[Col1]=$H11)*(Tab5D[Col3]))</f>
        <v>0</v>
      </c>
      <c r="J11" s="273">
        <f>SUMPRODUCT((Tab5D[Col1]=$H11)*(Tab5D[Col4]))</f>
        <v>0</v>
      </c>
      <c r="K11" s="273">
        <f>SUMPRODUCT((Tab5D[Col1]=H11)*(Tab5D[Col5]=TabelUtama!$J$3)*(Tab5D[Col3]))</f>
        <v>0</v>
      </c>
      <c r="L11" s="273">
        <f>IF(K11&gt;0,MAX(Tab5D[Col4]),0)</f>
        <v>0</v>
      </c>
    </row>
    <row r="13" spans="1:12" x14ac:dyDescent="0.2">
      <c r="H13" s="242" t="s">
        <v>721</v>
      </c>
      <c r="I13" s="241"/>
      <c r="J13" s="242"/>
      <c r="K13" s="242"/>
      <c r="L13" s="242"/>
    </row>
  </sheetData>
  <mergeCells count="3">
    <mergeCell ref="I5:L5"/>
    <mergeCell ref="I8:J8"/>
    <mergeCell ref="K8:L8"/>
  </mergeCells>
  <dataValidations count="2">
    <dataValidation type="list" allowBlank="1" showInputMessage="1" showErrorMessage="1" sqref="B7:B8" xr:uid="{00000000-0002-0000-2A00-000000000000}">
      <formula1>TabutKalenderIsi</formula1>
    </dataValidation>
    <dataValidation type="list" allowBlank="1" showInputMessage="1" showErrorMessage="1" sqref="F7:F8" xr:uid="{00000000-0002-0000-2A00-000001000000}">
      <formula1>TabutPilihanIsi</formula1>
    </dataValidation>
  </dataValidations>
  <pageMargins left="0.7" right="0.7" top="0.75" bottom="0.75" header="0.3" footer="0.3"/>
  <pageSetup paperSize="150" orientation="portrait"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18"/>
  <sheetViews>
    <sheetView workbookViewId="0">
      <selection activeCell="N16" sqref="N16"/>
    </sheetView>
  </sheetViews>
  <sheetFormatPr baseColWidth="10" defaultColWidth="9.1640625" defaultRowHeight="15" x14ac:dyDescent="0.2"/>
  <cols>
    <col min="1" max="1" width="4.5" style="1" bestFit="1" customWidth="1"/>
    <col min="2" max="2" width="11.6640625" style="1" customWidth="1"/>
    <col min="3" max="3" width="45.6640625" style="1" customWidth="1"/>
    <col min="4" max="4" width="7.5" style="1" hidden="1" customWidth="1"/>
    <col min="5" max="5" width="35.6640625" style="1" customWidth="1"/>
    <col min="6" max="8" width="11" style="1" customWidth="1"/>
    <col min="9" max="16384" width="9.1640625" style="1"/>
  </cols>
  <sheetData>
    <row r="1" spans="1:9" x14ac:dyDescent="0.2">
      <c r="A1" s="299" t="s">
        <v>169</v>
      </c>
      <c r="B1" s="26" t="s">
        <v>356</v>
      </c>
      <c r="C1" s="26"/>
      <c r="D1" s="27"/>
      <c r="E1" s="27"/>
      <c r="F1" s="27"/>
      <c r="G1" s="27"/>
    </row>
    <row r="2" spans="1:9" x14ac:dyDescent="0.2">
      <c r="B2" s="25" t="s">
        <v>169</v>
      </c>
      <c r="C2" s="26"/>
      <c r="D2" s="28"/>
      <c r="E2" s="28"/>
      <c r="F2" s="28"/>
      <c r="G2" s="28"/>
    </row>
    <row r="3" spans="1:9" ht="15" customHeight="1" x14ac:dyDescent="0.2">
      <c r="B3" s="315" t="str">
        <f>INDEX(TabRef2[],MATCH($B$2,TabRef2[Column3],0),4)</f>
        <v>Menjadi anggota delegasi Nasional ke pertemuan Internasional</v>
      </c>
      <c r="C3" s="317"/>
      <c r="D3" s="317"/>
      <c r="E3" s="317"/>
      <c r="F3" s="317"/>
      <c r="G3" s="317"/>
    </row>
    <row r="5" spans="1:9" x14ac:dyDescent="0.2">
      <c r="B5" s="112" t="s">
        <v>411</v>
      </c>
      <c r="C5" s="112" t="s">
        <v>0</v>
      </c>
      <c r="D5" s="112" t="s">
        <v>530</v>
      </c>
      <c r="E5" s="112" t="s">
        <v>746</v>
      </c>
      <c r="F5" s="112" t="s">
        <v>405</v>
      </c>
      <c r="G5" s="112" t="s">
        <v>12</v>
      </c>
      <c r="H5" s="112" t="s">
        <v>372</v>
      </c>
      <c r="I5" s="112" t="s">
        <v>536</v>
      </c>
    </row>
    <row r="6" spans="1:9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</row>
    <row r="7" spans="1:9" ht="16" hidden="1" x14ac:dyDescent="0.2">
      <c r="B7" s="291"/>
      <c r="C7" s="292" t="s">
        <v>170</v>
      </c>
      <c r="D7" s="288" t="str">
        <f>INDEX(TabRef3[Column3],MATCH(Tab5E[[#This Row],[Col2]],TabRef3[Column4],0),1)</f>
        <v>V.E.1.</v>
      </c>
      <c r="E7" s="287"/>
      <c r="F7" s="289">
        <f>IF(AND(ISTEXT(Tab5E[[#This Row],[Col1]]),ISTEXT(Tab5E[[#This Row],[Col2]]),ISTEXT(Tab5E[[#This Row],[Col4]])),1,0)</f>
        <v>0</v>
      </c>
      <c r="G7" s="289">
        <f>IFERROR(Tab5E[[#This Row],[Col5]]*VLOOKUP(Tab5E[[#This Row],[Col3]],TabRef4[[Column1]:[Column5]],5,FALSE),0)</f>
        <v>0</v>
      </c>
      <c r="H7" s="293"/>
      <c r="I7" s="294"/>
    </row>
    <row r="8" spans="1:9" x14ac:dyDescent="0.2">
      <c r="B8" s="81"/>
      <c r="C8" s="82"/>
      <c r="D8" s="288" t="e">
        <f>INDEX(TabRef3[Column3],MATCH(Tab5E[[#This Row],[Col2]],TabRef3[Column4],0),1)</f>
        <v>#N/A</v>
      </c>
      <c r="E8" s="83"/>
      <c r="F8" s="289">
        <f>IF(AND(ISTEXT(Tab5E[[#This Row],[Col1]]),ISTEXT(Tab5E[[#This Row],[Col2]]),ISTEXT(Tab5E[[#This Row],[Col4]])),1,0)</f>
        <v>0</v>
      </c>
      <c r="G8" s="289">
        <f>IFERROR(Tab5E[[#This Row],[Col5]]*VLOOKUP(Tab5E[[#This Row],[Col3]],TabRef4[[Column1]:[Column5]],5,FALSE),0)</f>
        <v>0</v>
      </c>
      <c r="H8" s="85" t="s">
        <v>370</v>
      </c>
      <c r="I8" s="86"/>
    </row>
    <row r="9" spans="1:9" x14ac:dyDescent="0.2">
      <c r="B9" s="84" t="s">
        <v>533</v>
      </c>
    </row>
    <row r="11" spans="1:9" x14ac:dyDescent="0.2">
      <c r="E11" s="552"/>
      <c r="F11" s="554" t="s">
        <v>535</v>
      </c>
      <c r="G11" s="556"/>
      <c r="H11" s="556"/>
      <c r="I11" s="555"/>
    </row>
    <row r="12" spans="1:9" x14ac:dyDescent="0.2">
      <c r="E12" s="552"/>
      <c r="F12" s="552" t="s">
        <v>401</v>
      </c>
      <c r="G12" s="552"/>
      <c r="H12" s="554" t="s">
        <v>402</v>
      </c>
      <c r="I12" s="555"/>
    </row>
    <row r="13" spans="1:9" x14ac:dyDescent="0.2">
      <c r="E13" s="552"/>
      <c r="F13" s="273" t="s">
        <v>405</v>
      </c>
      <c r="G13" s="273" t="s">
        <v>12</v>
      </c>
      <c r="H13" s="273" t="s">
        <v>405</v>
      </c>
      <c r="I13" s="273" t="s">
        <v>12</v>
      </c>
    </row>
    <row r="14" spans="1:9" x14ac:dyDescent="0.2">
      <c r="E14" s="298" t="str">
        <f>TabelUtama!H3</f>
        <v>Semester 1</v>
      </c>
      <c r="F14" s="273">
        <f>SUMPRODUCT((Tab5E[Col1]=$E14)*(Tab5E[Col5]))</f>
        <v>0</v>
      </c>
      <c r="G14" s="273">
        <f>SUMPRODUCT((Tab5E[Col1]=$E14)*(Tab5E[Col6]))</f>
        <v>0</v>
      </c>
      <c r="H14" s="273">
        <f>SUMPRODUCT((Tab5E[Col1]=$E14)*(Tab5E[Col7]=Ya)*(Tab5E[Col5]))</f>
        <v>0</v>
      </c>
      <c r="I14" s="273">
        <f>SUMPRODUCT((Tab5E[Col1]=$E14)*(Tab5E[Col7]=Ya)*(Tab5E[Col6]))</f>
        <v>0</v>
      </c>
    </row>
    <row r="15" spans="1:9" x14ac:dyDescent="0.2">
      <c r="E15" s="298" t="str">
        <f>TabelUtama!H4</f>
        <v>Semester 2</v>
      </c>
      <c r="F15" s="273">
        <f>SUMPRODUCT((Tab5E[Col1]=$E15)*(Tab5E[Col5]))</f>
        <v>0</v>
      </c>
      <c r="G15" s="273">
        <f>SUMPRODUCT((Tab5E[Col1]=$E15)*(Tab5E[Col6]))</f>
        <v>0</v>
      </c>
      <c r="H15" s="273">
        <f>SUMPRODUCT((Tab5E[Col1]=$E15)*(Tab5E[Col7]=Ya)*(Tab5E[Col5]))</f>
        <v>0</v>
      </c>
      <c r="I15" s="273">
        <f>SUMPRODUCT((Tab5E[Col1]=$E15)*(Tab5E[Col7]=Ya)*(Tab5E[Col6]))</f>
        <v>0</v>
      </c>
    </row>
    <row r="16" spans="1:9" x14ac:dyDescent="0.2">
      <c r="E16" s="298" t="str">
        <f>TabelUtama!H5</f>
        <v>1 Tahun</v>
      </c>
      <c r="F16" s="273">
        <f>SUMPRODUCT((Tab5E[Col1]=$E16)*(Tab5E[Col5]))</f>
        <v>0</v>
      </c>
      <c r="G16" s="273">
        <f>SUMPRODUCT((Tab5E[Col1]=$E16)*(Tab5E[Col6]))</f>
        <v>0</v>
      </c>
      <c r="H16" s="273">
        <f>SUMPRODUCT((Tab5E[Col1]=$E16)*(Tab5E[Col7]=Ya)*(Tab5E[Col5]))</f>
        <v>0</v>
      </c>
      <c r="I16" s="273">
        <f>SUMPRODUCT((Tab5E[Col1]=$E16)*(Tab5E[Col7]=Ya)*(Tab5E[Col6]))</f>
        <v>0</v>
      </c>
    </row>
    <row r="18" spans="5:9" x14ac:dyDescent="0.2">
      <c r="E18" s="242" t="s">
        <v>721</v>
      </c>
      <c r="F18" s="241"/>
      <c r="G18" s="242"/>
      <c r="H18" s="242"/>
      <c r="I18" s="242"/>
    </row>
  </sheetData>
  <mergeCells count="4">
    <mergeCell ref="E11:E13"/>
    <mergeCell ref="F11:I11"/>
    <mergeCell ref="F12:G12"/>
    <mergeCell ref="H12:I12"/>
  </mergeCells>
  <dataValidations count="3">
    <dataValidation type="list" allowBlank="1" showInputMessage="1" showErrorMessage="1" sqref="C7:C8" xr:uid="{00000000-0002-0000-2B00-000000000000}">
      <formula1>OFFSET(_TabRef3_offset_head,MATCH($A$1,_TabRef3_offset_all,0)-1,3,COUNTIF(_TabRef3_offset_all,$A$1),1)</formula1>
    </dataValidation>
    <dataValidation type="list" allowBlank="1" showInputMessage="1" showErrorMessage="1" sqref="H7:H8" xr:uid="{00000000-0002-0000-2B00-000001000000}">
      <formula1>TabutPilihanIsi</formula1>
    </dataValidation>
    <dataValidation type="list" allowBlank="1" showInputMessage="1" showErrorMessage="1" sqref="B7:B8" xr:uid="{00000000-0002-0000-2B00-000002000000}">
      <formula1>TabutKalenderIsi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18"/>
  <sheetViews>
    <sheetView workbookViewId="0">
      <selection activeCell="G8" sqref="G8"/>
    </sheetView>
  </sheetViews>
  <sheetFormatPr baseColWidth="10" defaultColWidth="9.1640625" defaultRowHeight="15" x14ac:dyDescent="0.2"/>
  <cols>
    <col min="1" max="1" width="4.6640625" style="1" bestFit="1" customWidth="1"/>
    <col min="2" max="2" width="11.6640625" style="1" customWidth="1"/>
    <col min="3" max="3" width="45.6640625" style="1" customWidth="1"/>
    <col min="4" max="4" width="7.5" style="1" hidden="1" customWidth="1"/>
    <col min="5" max="5" width="34.33203125" style="1" customWidth="1"/>
    <col min="6" max="6" width="9.83203125" style="1" hidden="1" customWidth="1"/>
    <col min="7" max="7" width="35.6640625" style="1" customWidth="1"/>
    <col min="8" max="10" width="11" style="1" customWidth="1"/>
    <col min="11" max="16384" width="9.1640625" style="1"/>
  </cols>
  <sheetData>
    <row r="1" spans="1:11" x14ac:dyDescent="0.2">
      <c r="A1" s="299" t="s">
        <v>172</v>
      </c>
      <c r="B1" s="315" t="s">
        <v>356</v>
      </c>
    </row>
    <row r="2" spans="1:11" x14ac:dyDescent="0.2">
      <c r="B2" s="315" t="s">
        <v>172</v>
      </c>
    </row>
    <row r="3" spans="1:11" x14ac:dyDescent="0.2">
      <c r="B3" s="315" t="str">
        <f>INDEX(TabRef2[],MATCH($B$2,TabRef2[Column3],0),4)</f>
        <v>Berperan serta aktif dalam pertemuan ilmiah</v>
      </c>
    </row>
    <row r="5" spans="1:11" x14ac:dyDescent="0.2">
      <c r="B5" s="307" t="s">
        <v>411</v>
      </c>
      <c r="C5" s="307" t="s">
        <v>359</v>
      </c>
      <c r="D5" s="307" t="s">
        <v>530</v>
      </c>
      <c r="E5" s="307" t="s">
        <v>757</v>
      </c>
      <c r="F5" s="307"/>
      <c r="G5" s="307" t="s">
        <v>468</v>
      </c>
      <c r="H5" s="307" t="s">
        <v>405</v>
      </c>
      <c r="I5" s="307" t="s">
        <v>12</v>
      </c>
      <c r="J5" s="307" t="s">
        <v>372</v>
      </c>
      <c r="K5" s="307" t="s">
        <v>536</v>
      </c>
    </row>
    <row r="6" spans="1:11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  <c r="J6" s="59" t="s">
        <v>730</v>
      </c>
      <c r="K6" s="59" t="s">
        <v>731</v>
      </c>
    </row>
    <row r="7" spans="1:11" ht="16" hidden="1" x14ac:dyDescent="0.2">
      <c r="B7" s="302"/>
      <c r="C7" s="303" t="s">
        <v>176</v>
      </c>
      <c r="D7" s="288" t="str">
        <f>INDEX(TabRef3[Column3],MATCH(Tab5F[[#This Row],[Col2]],TabRef3[Column4],0),1)</f>
        <v>V.F.1.</v>
      </c>
      <c r="E7" s="303" t="s">
        <v>323</v>
      </c>
      <c r="F7" s="288" t="str">
        <f t="array" ref="F7">INDEX(TabRef4[Column3],MATCH(1,(Tab5F[[#This Row],[Col3]]=TabRef4[Column1])*(Tab5F[[#This Row],[Col4]]=TabRef4[Column4]),0),1)</f>
        <v>V.F.1.a.</v>
      </c>
      <c r="G7" s="288"/>
      <c r="H7" s="289">
        <f>IF(AND(ISTEXT(Tab5F[[#This Row],[Col1]]),ISTEXT(Tab5F[[#This Row],[Col2]]),ISTEXT(Tab5F[[#This Row],[Col4]]),ISTEXT(Tab5F[[#This Row],[Col6]])),1,0)</f>
        <v>0</v>
      </c>
      <c r="I7" s="289">
        <f>IFERROR(Tab5F[[#This Row],[Col7]]*VLOOKUP(Tab5F[[#This Row],[Col5]],TabRef4[[Column3]:[Column5]],3,FALSE),0)</f>
        <v>0</v>
      </c>
      <c r="J7" s="304"/>
      <c r="K7" s="314"/>
    </row>
    <row r="8" spans="1:11" x14ac:dyDescent="0.2">
      <c r="B8" s="81"/>
      <c r="C8" s="82"/>
      <c r="D8" s="288" t="e">
        <f>INDEX(TabRef3[Column3],MATCH(Tab5F[[#This Row],[Col2]],TabRef3[Column4],0),1)</f>
        <v>#N/A</v>
      </c>
      <c r="E8" s="82"/>
      <c r="F8" s="288" t="e">
        <f t="array" ref="F8">INDEX(TabRef4[Column3],MATCH(1,(Tab5F[[#This Row],[Col3]]=TabRef4[Column1])*(Tab5F[[#This Row],[Col4]]=TabRef4[Column4]),0),1)</f>
        <v>#N/A</v>
      </c>
      <c r="G8" s="83"/>
      <c r="H8" s="289">
        <f>IF(AND(ISTEXT(Tab5F[[#This Row],[Col1]]),ISTEXT(Tab5F[[#This Row],[Col2]]),ISTEXT(Tab5F[[#This Row],[Col4]]),ISTEXT(Tab5F[[#This Row],[Col6]])),1,0)</f>
        <v>0</v>
      </c>
      <c r="I8" s="290">
        <f>IFERROR(Tab5F[[#This Row],[Col7]]*VLOOKUP(Tab5F[[#This Row],[Col5]],TabRef4[[Column3]:[Column5]],3,FALSE),0)</f>
        <v>0</v>
      </c>
      <c r="J8" s="85" t="s">
        <v>370</v>
      </c>
      <c r="K8" s="306"/>
    </row>
    <row r="9" spans="1:11" x14ac:dyDescent="0.2">
      <c r="B9" s="84" t="s">
        <v>533</v>
      </c>
    </row>
    <row r="11" spans="1:11" x14ac:dyDescent="0.2">
      <c r="G11" s="552"/>
      <c r="H11" s="554" t="s">
        <v>535</v>
      </c>
      <c r="I11" s="556"/>
      <c r="J11" s="556"/>
      <c r="K11" s="555"/>
    </row>
    <row r="12" spans="1:11" x14ac:dyDescent="0.2">
      <c r="G12" s="552"/>
      <c r="H12" s="552" t="s">
        <v>401</v>
      </c>
      <c r="I12" s="552"/>
      <c r="J12" s="554" t="s">
        <v>402</v>
      </c>
      <c r="K12" s="555"/>
    </row>
    <row r="13" spans="1:11" x14ac:dyDescent="0.2">
      <c r="G13" s="552"/>
      <c r="H13" s="284" t="s">
        <v>405</v>
      </c>
      <c r="I13" s="284" t="s">
        <v>12</v>
      </c>
      <c r="J13" s="284" t="s">
        <v>405</v>
      </c>
      <c r="K13" s="284" t="s">
        <v>12</v>
      </c>
    </row>
    <row r="14" spans="1:11" x14ac:dyDescent="0.2">
      <c r="G14" s="298" t="str">
        <f>TabelUtama!H3</f>
        <v>Semester 1</v>
      </c>
      <c r="H14" s="284">
        <f>SUMPRODUCT((Tab5F[Col1]=$G14)*(Tab5F[Col7]))</f>
        <v>0</v>
      </c>
      <c r="I14" s="284">
        <f>SUMPRODUCT((Tab5F[Col1]=$G14)*(Tab5F[Col8]))</f>
        <v>0</v>
      </c>
      <c r="J14" s="284">
        <f>SUMPRODUCT((Tab5F[Col1]=$G14)*(Tab5F[Col9]=Ya)*(Tab5F[Col7]))</f>
        <v>0</v>
      </c>
      <c r="K14" s="284">
        <f>SUMPRODUCT((Tab5F[Col1]=$G14)*(Tab5F[Col9]=Ya)*(Tab5F[Col8]))</f>
        <v>0</v>
      </c>
    </row>
    <row r="15" spans="1:11" x14ac:dyDescent="0.2">
      <c r="G15" s="298" t="str">
        <f>TabelUtama!H4</f>
        <v>Semester 2</v>
      </c>
      <c r="H15" s="284">
        <f>SUMPRODUCT((Tab5F[Col1]=$G15)*(Tab5F[Col7]))</f>
        <v>0</v>
      </c>
      <c r="I15" s="284">
        <f>SUMPRODUCT((Tab5F[Col1]=$G15)*(Tab5F[Col8]))</f>
        <v>0</v>
      </c>
      <c r="J15" s="284">
        <f>SUMPRODUCT((Tab5F[Col1]=$G15)*(Tab5F[Col9]=Ya)*(Tab5F[Col7]))</f>
        <v>0</v>
      </c>
      <c r="K15" s="284">
        <f>SUMPRODUCT((Tab5F[Col1]=$G15)*(Tab5F[Col9]=Ya)*(Tab5F[Col8]))</f>
        <v>0</v>
      </c>
    </row>
    <row r="16" spans="1:11" x14ac:dyDescent="0.2">
      <c r="G16" s="298" t="str">
        <f>TabelUtama!H5</f>
        <v>1 Tahun</v>
      </c>
      <c r="H16" s="284">
        <f>SUMPRODUCT((Tab5F[Col1]=$G16)*(Tab5F[Col7]))</f>
        <v>0</v>
      </c>
      <c r="I16" s="284">
        <f>SUMPRODUCT((Tab5F[Col1]=$G16)*(Tab5F[Col8]))</f>
        <v>0</v>
      </c>
      <c r="J16" s="284">
        <f>SUMPRODUCT((Tab5F[Col1]=$G16)*(Tab5F[Col9]=Ya)*(Tab5F[Col7]))</f>
        <v>0</v>
      </c>
      <c r="K16" s="284">
        <f>SUMPRODUCT((Tab5F[Col1]=$G16)*(Tab5F[Col9]=Ya)*(Tab5F[Col8]))</f>
        <v>0</v>
      </c>
    </row>
    <row r="18" spans="7:11" x14ac:dyDescent="0.2">
      <c r="G18" s="242" t="s">
        <v>721</v>
      </c>
      <c r="H18" s="241"/>
      <c r="I18" s="242"/>
      <c r="J18" s="242"/>
      <c r="K18" s="242"/>
    </row>
  </sheetData>
  <mergeCells count="4">
    <mergeCell ref="H12:I12"/>
    <mergeCell ref="G11:G13"/>
    <mergeCell ref="H11:K11"/>
    <mergeCell ref="J12:K12"/>
  </mergeCells>
  <dataValidations count="4">
    <dataValidation type="list" allowBlank="1" showInputMessage="1" showErrorMessage="1" sqref="B7:B8" xr:uid="{00000000-0002-0000-2C00-000000000000}">
      <formula1>TabutKalenderIsi</formula1>
    </dataValidation>
    <dataValidation type="list" allowBlank="1" showInputMessage="1" showErrorMessage="1" sqref="J7:J8" xr:uid="{00000000-0002-0000-2C00-000001000000}">
      <formula1>TabutPilihanIsi</formula1>
    </dataValidation>
    <dataValidation type="list" allowBlank="1" showInputMessage="1" showErrorMessage="1" sqref="C7:C8" xr:uid="{00000000-0002-0000-2C00-000002000000}">
      <formula1>OFFSET(_TabRef3_offset_head,MATCH($A$1,_TabRef3_offset_all,0)-1,3,COUNTIF(_TabRef3_offset_all,$A$1),1)</formula1>
    </dataValidation>
    <dataValidation type="list" allowBlank="1" showInputMessage="1" showErrorMessage="1" sqref="E7:E8" xr:uid="{00000000-0002-0000-2C00-000003000000}">
      <formula1>OFFSET(_TabRef4_offset_head,MATCH(D7,_TabRef4_offset_all,0)-1,3,COUNTIF(_TabRef4_offset_all,D7),1)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8"/>
  <sheetViews>
    <sheetView workbookViewId="0">
      <selection activeCell="E8" sqref="E8"/>
    </sheetView>
  </sheetViews>
  <sheetFormatPr baseColWidth="10" defaultColWidth="9.1640625" defaultRowHeight="15" x14ac:dyDescent="0.2"/>
  <cols>
    <col min="1" max="1" width="4.6640625" style="1" bestFit="1" customWidth="1"/>
    <col min="2" max="2" width="11.6640625" style="1" customWidth="1"/>
    <col min="3" max="3" width="45.6640625" style="1" customWidth="1"/>
    <col min="4" max="4" width="7.5" style="1" hidden="1" customWidth="1"/>
    <col min="5" max="5" width="35.6640625" style="1" customWidth="1"/>
    <col min="6" max="8" width="11" style="1" customWidth="1"/>
    <col min="9" max="16384" width="9.1640625" style="1"/>
  </cols>
  <sheetData>
    <row r="1" spans="1:9" x14ac:dyDescent="0.2">
      <c r="A1" s="299" t="s">
        <v>175</v>
      </c>
      <c r="B1" s="315" t="s">
        <v>356</v>
      </c>
    </row>
    <row r="2" spans="1:9" x14ac:dyDescent="0.2">
      <c r="B2" s="315" t="s">
        <v>175</v>
      </c>
    </row>
    <row r="3" spans="1:9" x14ac:dyDescent="0.2">
      <c r="B3" s="315" t="str">
        <f>INDEX(TabRef2[],MATCH($B$2,TabRef2[Column3],0),4)</f>
        <v>Mendapat tanda jasa/penghargaan</v>
      </c>
    </row>
    <row r="5" spans="1:9" x14ac:dyDescent="0.2">
      <c r="B5" s="307" t="s">
        <v>411</v>
      </c>
      <c r="C5" s="307" t="s">
        <v>758</v>
      </c>
      <c r="D5" s="307" t="s">
        <v>530</v>
      </c>
      <c r="E5" s="307" t="s">
        <v>759</v>
      </c>
      <c r="F5" s="307" t="s">
        <v>405</v>
      </c>
      <c r="G5" s="307" t="s">
        <v>12</v>
      </c>
      <c r="H5" s="307" t="s">
        <v>372</v>
      </c>
      <c r="I5" s="307" t="s">
        <v>536</v>
      </c>
    </row>
    <row r="6" spans="1:9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</row>
    <row r="7" spans="1:9" ht="16" hidden="1" x14ac:dyDescent="0.2">
      <c r="B7" s="302"/>
      <c r="C7" s="303" t="s">
        <v>179</v>
      </c>
      <c r="D7" s="288" t="str">
        <f>INDEX(TabRef3[Column3],MATCH(Tab5G[[#This Row],[Col2]],TabRef3[Column4],0),1)</f>
        <v>V.G.1.</v>
      </c>
      <c r="E7" s="288"/>
      <c r="F7" s="289">
        <f>IF(AND(ISTEXT(Tab5G[[#This Row],[Col1]]),ISTEXT(Tab5G[[#This Row],[Col2]]),ISTEXT(Tab5G[[#This Row],[Col4]])),1,0)</f>
        <v>0</v>
      </c>
      <c r="G7" s="289">
        <f>IFERROR(Tab5G[[#This Row],[Col5]]*VLOOKUP(Tab5G[[#This Row],[Col3]],TabRef4[[Column1]:[Column5]],5,FALSE),0)</f>
        <v>0</v>
      </c>
      <c r="H7" s="304"/>
      <c r="I7" s="314"/>
    </row>
    <row r="8" spans="1:9" x14ac:dyDescent="0.2">
      <c r="B8" s="81"/>
      <c r="C8" s="82"/>
      <c r="D8" s="288" t="e">
        <f>INDEX(TabRef3[Column3],MATCH(Tab5G[[#This Row],[Col2]],TabRef3[Column4],0),1)</f>
        <v>#N/A</v>
      </c>
      <c r="E8" s="83"/>
      <c r="F8" s="289">
        <f>IF(AND(ISTEXT(Tab5G[[#This Row],[Col1]]),ISTEXT(Tab5G[[#This Row],[Col2]]),ISTEXT(Tab5G[[#This Row],[Col4]])),1,0)</f>
        <v>0</v>
      </c>
      <c r="G8" s="289">
        <f>IFERROR(Tab5G[[#This Row],[Col5]]*VLOOKUP(Tab5G[[#This Row],[Col3]],TabRef4[[Column1]:[Column5]],5,FALSE),0)</f>
        <v>0</v>
      </c>
      <c r="H8" s="85" t="s">
        <v>370</v>
      </c>
      <c r="I8" s="306"/>
    </row>
    <row r="9" spans="1:9" x14ac:dyDescent="0.2">
      <c r="B9" s="84" t="s">
        <v>533</v>
      </c>
    </row>
    <row r="11" spans="1:9" x14ac:dyDescent="0.2">
      <c r="E11" s="552"/>
      <c r="F11" s="554" t="s">
        <v>535</v>
      </c>
      <c r="G11" s="556"/>
      <c r="H11" s="556"/>
      <c r="I11" s="555"/>
    </row>
    <row r="12" spans="1:9" x14ac:dyDescent="0.2">
      <c r="E12" s="552"/>
      <c r="F12" s="552" t="s">
        <v>401</v>
      </c>
      <c r="G12" s="552"/>
      <c r="H12" s="554" t="s">
        <v>402</v>
      </c>
      <c r="I12" s="555"/>
    </row>
    <row r="13" spans="1:9" x14ac:dyDescent="0.2">
      <c r="E13" s="552"/>
      <c r="F13" s="284" t="s">
        <v>405</v>
      </c>
      <c r="G13" s="284" t="s">
        <v>12</v>
      </c>
      <c r="H13" s="284" t="s">
        <v>405</v>
      </c>
      <c r="I13" s="284" t="s">
        <v>12</v>
      </c>
    </row>
    <row r="14" spans="1:9" x14ac:dyDescent="0.2">
      <c r="E14" s="298" t="str">
        <f>TabelUtama!H3</f>
        <v>Semester 1</v>
      </c>
      <c r="F14" s="284">
        <f>SUMPRODUCT((Tab5G[Col1]=$E14)*(Tab5G[Col5]))</f>
        <v>0</v>
      </c>
      <c r="G14" s="284">
        <f>SUMPRODUCT((Tab5G[Col1]=$E14)*(Tab5G[Col6]))</f>
        <v>0</v>
      </c>
      <c r="H14" s="284">
        <f>SUMPRODUCT((Tab5G[Col1]=$E14)*(Tab5G[Col7]=Ya)*(Tab5G[Col5]))</f>
        <v>0</v>
      </c>
      <c r="I14" s="284">
        <f>SUMPRODUCT((Tab5G[Col1]=$E14)*(Tab5G[Col7]=Ya)*(Tab5G[Col6]))</f>
        <v>0</v>
      </c>
    </row>
    <row r="15" spans="1:9" x14ac:dyDescent="0.2">
      <c r="E15" s="298" t="str">
        <f>TabelUtama!H4</f>
        <v>Semester 2</v>
      </c>
      <c r="F15" s="284">
        <f>SUMPRODUCT((Tab5G[Col1]=$E15)*(Tab5G[Col5]))</f>
        <v>0</v>
      </c>
      <c r="G15" s="284">
        <f>SUMPRODUCT((Tab5G[Col1]=$E15)*(Tab5G[Col6]))</f>
        <v>0</v>
      </c>
      <c r="H15" s="284">
        <f>SUMPRODUCT((Tab5G[Col1]=$E15)*(Tab5G[Col7]=Ya)*(Tab5G[Col5]))</f>
        <v>0</v>
      </c>
      <c r="I15" s="284">
        <f>SUMPRODUCT((Tab5G[Col1]=$E15)*(Tab5G[Col7]=Ya)*(Tab5G[Col6]))</f>
        <v>0</v>
      </c>
    </row>
    <row r="16" spans="1:9" x14ac:dyDescent="0.2">
      <c r="E16" s="298" t="str">
        <f>TabelUtama!H5</f>
        <v>1 Tahun</v>
      </c>
      <c r="F16" s="284">
        <f>SUMPRODUCT((Tab5G[Col1]=$E16)*(Tab5G[Col5]))</f>
        <v>0</v>
      </c>
      <c r="G16" s="284">
        <f>SUMPRODUCT((Tab5G[Col1]=$E16)*(Tab5G[Col6]))</f>
        <v>0</v>
      </c>
      <c r="H16" s="284">
        <f>SUMPRODUCT((Tab5G[Col1]=$E16)*(Tab5G[Col7]=Ya)*(Tab5G[Col5]))</f>
        <v>0</v>
      </c>
      <c r="I16" s="284">
        <f>SUMPRODUCT((Tab5G[Col1]=$E16)*(Tab5G[Col7]=Ya)*(Tab5G[Col6]))</f>
        <v>0</v>
      </c>
    </row>
    <row r="18" spans="5:9" x14ac:dyDescent="0.2">
      <c r="E18" s="242" t="s">
        <v>721</v>
      </c>
      <c r="F18" s="241"/>
      <c r="G18" s="242"/>
      <c r="H18" s="242"/>
      <c r="I18" s="242"/>
    </row>
  </sheetData>
  <mergeCells count="4">
    <mergeCell ref="H12:I12"/>
    <mergeCell ref="E11:E13"/>
    <mergeCell ref="F11:I11"/>
    <mergeCell ref="F12:G12"/>
  </mergeCells>
  <dataValidations count="3">
    <dataValidation type="list" allowBlank="1" showInputMessage="1" showErrorMessage="1" sqref="B7:B8" xr:uid="{00000000-0002-0000-2D00-000000000000}">
      <formula1>TabutKalenderIsi</formula1>
    </dataValidation>
    <dataValidation type="list" allowBlank="1" showInputMessage="1" showErrorMessage="1" sqref="H7:H8" xr:uid="{00000000-0002-0000-2D00-000001000000}">
      <formula1>TabutPilihanIsi</formula1>
    </dataValidation>
    <dataValidation type="list" allowBlank="1" showInputMessage="1" showErrorMessage="1" sqref="C7:C8" xr:uid="{00000000-0002-0000-2D00-000002000000}">
      <formula1>OFFSET(_TabRef3_offset_head,MATCH($A$1,_TabRef3_offset_all,0)-1,3,COUNTIF(_TabRef3_offset_all,$A$1),1)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8"/>
  <sheetViews>
    <sheetView workbookViewId="0">
      <selection activeCell="C13" sqref="C13"/>
    </sheetView>
  </sheetViews>
  <sheetFormatPr baseColWidth="10" defaultColWidth="9.1640625" defaultRowHeight="15" x14ac:dyDescent="0.2"/>
  <cols>
    <col min="1" max="1" width="4.6640625" style="1" bestFit="1" customWidth="1"/>
    <col min="2" max="2" width="11.6640625" style="1" customWidth="1"/>
    <col min="3" max="3" width="45.6640625" style="1" customWidth="1"/>
    <col min="4" max="4" width="7.5" style="1" hidden="1" customWidth="1"/>
    <col min="5" max="5" width="35.6640625" style="1" customWidth="1"/>
    <col min="6" max="8" width="11" style="1" customWidth="1"/>
    <col min="9" max="16384" width="9.1640625" style="1"/>
  </cols>
  <sheetData>
    <row r="1" spans="1:9" x14ac:dyDescent="0.2">
      <c r="A1" s="299" t="s">
        <v>178</v>
      </c>
      <c r="B1" s="315" t="s">
        <v>356</v>
      </c>
    </row>
    <row r="2" spans="1:9" x14ac:dyDescent="0.2">
      <c r="B2" s="315" t="s">
        <v>178</v>
      </c>
    </row>
    <row r="3" spans="1:9" x14ac:dyDescent="0.2">
      <c r="B3" s="315" t="str">
        <f>INDEX(TabRef2[],MATCH($B$2,TabRef2[Column3],0),4)</f>
        <v>Menulis buku pelajaran SLTA ke bawah yang diterbitkan dan diedarkan secara nasional</v>
      </c>
    </row>
    <row r="5" spans="1:9" x14ac:dyDescent="0.2">
      <c r="B5" s="285" t="s">
        <v>411</v>
      </c>
      <c r="C5" s="285" t="s">
        <v>760</v>
      </c>
      <c r="D5" s="285" t="s">
        <v>530</v>
      </c>
      <c r="E5" s="285" t="s">
        <v>531</v>
      </c>
      <c r="F5" s="285" t="s">
        <v>405</v>
      </c>
      <c r="G5" s="285" t="s">
        <v>12</v>
      </c>
      <c r="H5" s="285" t="s">
        <v>372</v>
      </c>
      <c r="I5" s="285" t="s">
        <v>536</v>
      </c>
    </row>
    <row r="6" spans="1:9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</row>
    <row r="7" spans="1:9" ht="16" hidden="1" x14ac:dyDescent="0.2">
      <c r="B7" s="302"/>
      <c r="C7" s="303" t="s">
        <v>186</v>
      </c>
      <c r="D7" s="288" t="str">
        <f>INDEX(TabRef3[Column3],MATCH(Tab5H[[#This Row],[Col2]],TabRef3[Column4],0),1)</f>
        <v>V.H.1.</v>
      </c>
      <c r="E7" s="288"/>
      <c r="F7" s="289">
        <f>IF(AND(ISTEXT(Tab5H[[#This Row],[Col1]]),ISTEXT(Tab5H[[#This Row],[Col2]]),ISTEXT(Tab5H[[#This Row],[Col4]])),1,0)</f>
        <v>0</v>
      </c>
      <c r="G7" s="289">
        <f>IFERROR(Tab5H[[#This Row],[Col5]]*VLOOKUP(Tab5H[[#This Row],[Col3]],TabRef4[[Column1]:[Column5]],5,FALSE),0)</f>
        <v>0</v>
      </c>
      <c r="H7" s="304"/>
      <c r="I7" s="305"/>
    </row>
    <row r="8" spans="1:9" x14ac:dyDescent="0.2">
      <c r="B8" s="81"/>
      <c r="C8" s="82"/>
      <c r="D8" s="288" t="e">
        <f>INDEX(TabRef3[Column3],MATCH(Tab5H[[#This Row],[Col2]],TabRef3[Column4],0),1)</f>
        <v>#N/A</v>
      </c>
      <c r="E8" s="83"/>
      <c r="F8" s="289">
        <f>IF(AND(ISTEXT(Tab5H[[#This Row],[Col1]]),ISTEXT(Tab5H[[#This Row],[Col2]]),ISTEXT(Tab5H[[#This Row],[Col4]])),1,0)</f>
        <v>0</v>
      </c>
      <c r="G8" s="289">
        <f>IFERROR(Tab5H[[#This Row],[Col5]]*VLOOKUP(Tab5H[[#This Row],[Col3]],TabRef4[[Column1]:[Column5]],5,FALSE),0)</f>
        <v>0</v>
      </c>
      <c r="H8" s="85" t="s">
        <v>370</v>
      </c>
      <c r="I8" s="86"/>
    </row>
    <row r="9" spans="1:9" x14ac:dyDescent="0.2">
      <c r="B9" s="84" t="s">
        <v>533</v>
      </c>
    </row>
    <row r="11" spans="1:9" x14ac:dyDescent="0.2">
      <c r="E11" s="552"/>
      <c r="F11" s="554" t="s">
        <v>535</v>
      </c>
      <c r="G11" s="556"/>
      <c r="H11" s="556"/>
      <c r="I11" s="555"/>
    </row>
    <row r="12" spans="1:9" x14ac:dyDescent="0.2">
      <c r="E12" s="552"/>
      <c r="F12" s="552" t="s">
        <v>401</v>
      </c>
      <c r="G12" s="552"/>
      <c r="H12" s="554" t="s">
        <v>402</v>
      </c>
      <c r="I12" s="555"/>
    </row>
    <row r="13" spans="1:9" x14ac:dyDescent="0.2">
      <c r="E13" s="552"/>
      <c r="F13" s="284" t="s">
        <v>405</v>
      </c>
      <c r="G13" s="284" t="s">
        <v>12</v>
      </c>
      <c r="H13" s="284" t="s">
        <v>405</v>
      </c>
      <c r="I13" s="284" t="s">
        <v>12</v>
      </c>
    </row>
    <row r="14" spans="1:9" x14ac:dyDescent="0.2">
      <c r="E14" s="298" t="str">
        <f>TabelUtama!H3</f>
        <v>Semester 1</v>
      </c>
      <c r="F14" s="284">
        <f>SUMPRODUCT((Tab5H[Col1]=$E14)*(Tab5H[Col5]))</f>
        <v>0</v>
      </c>
      <c r="G14" s="284">
        <f>SUMPRODUCT((Tab5H[Col1]=$E14)*(Tab5H[Col6]))</f>
        <v>0</v>
      </c>
      <c r="H14" s="284">
        <f>SUMPRODUCT((Tab5H[Col1]=$E14)*(Tab5H[Col7]=Ya)*(Tab5H[Col5]))</f>
        <v>0</v>
      </c>
      <c r="I14" s="284">
        <f>SUMPRODUCT((Tab5H[Col1]=$E14)*(Tab5H[Col7]=Ya)*(Tab5H[Col6]))</f>
        <v>0</v>
      </c>
    </row>
    <row r="15" spans="1:9" x14ac:dyDescent="0.2">
      <c r="E15" s="298" t="str">
        <f>TabelUtama!H4</f>
        <v>Semester 2</v>
      </c>
      <c r="F15" s="284">
        <f>SUMPRODUCT((Tab5H[Col1]=$E15)*(Tab5H[Col5]))</f>
        <v>0</v>
      </c>
      <c r="G15" s="284">
        <f>SUMPRODUCT((Tab5H[Col1]=$E15)*(Tab5H[Col6]))</f>
        <v>0</v>
      </c>
      <c r="H15" s="284">
        <f>SUMPRODUCT((Tab5H[Col1]=$E15)*(Tab5H[Col7]=Ya)*(Tab5H[Col5]))</f>
        <v>0</v>
      </c>
      <c r="I15" s="284">
        <f>SUMPRODUCT((Tab5H[Col1]=$E15)*(Tab5H[Col7]=Ya)*(Tab5H[Col6]))</f>
        <v>0</v>
      </c>
    </row>
    <row r="16" spans="1:9" x14ac:dyDescent="0.2">
      <c r="E16" s="298" t="str">
        <f>TabelUtama!H5</f>
        <v>1 Tahun</v>
      </c>
      <c r="F16" s="284">
        <f>SUMPRODUCT((Tab5H[Col1]=$E16)*(Tab5H[Col5]))</f>
        <v>0</v>
      </c>
      <c r="G16" s="284">
        <f>SUMPRODUCT((Tab5H[Col1]=$E16)*(Tab5H[Col6]))</f>
        <v>0</v>
      </c>
      <c r="H16" s="284">
        <f>SUMPRODUCT((Tab5H[Col1]=$E16)*(Tab5H[Col7]=Ya)*(Tab5H[Col5]))</f>
        <v>0</v>
      </c>
      <c r="I16" s="284">
        <f>SUMPRODUCT((Tab5H[Col1]=$E16)*(Tab5H[Col7]=Ya)*(Tab5H[Col6]))</f>
        <v>0</v>
      </c>
    </row>
    <row r="18" spans="5:9" x14ac:dyDescent="0.2">
      <c r="E18" s="242" t="s">
        <v>721</v>
      </c>
      <c r="F18" s="241"/>
      <c r="G18" s="242"/>
      <c r="H18" s="242"/>
      <c r="I18" s="242"/>
    </row>
  </sheetData>
  <mergeCells count="4">
    <mergeCell ref="E11:E13"/>
    <mergeCell ref="F11:I11"/>
    <mergeCell ref="F12:G12"/>
    <mergeCell ref="H12:I12"/>
  </mergeCells>
  <dataValidations count="3">
    <dataValidation type="list" allowBlank="1" showInputMessage="1" showErrorMessage="1" sqref="C7:C8" xr:uid="{00000000-0002-0000-2E00-000000000000}">
      <formula1>OFFSET(_TabRef3_offset_head,MATCH($A$1,_TabRef3_offset_all,0)-1,3,COUNTIF(_TabRef3_offset_all,$A$1),1)</formula1>
    </dataValidation>
    <dataValidation type="list" allowBlank="1" showInputMessage="1" showErrorMessage="1" sqref="H7:H8" xr:uid="{00000000-0002-0000-2E00-000001000000}">
      <formula1>TabutPilihanIsi</formula1>
    </dataValidation>
    <dataValidation type="list" allowBlank="1" showInputMessage="1" showErrorMessage="1" sqref="B7:B8" xr:uid="{00000000-0002-0000-2E00-000002000000}">
      <formula1>TabutKalenderIsi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8"/>
  <sheetViews>
    <sheetView workbookViewId="0">
      <selection activeCell="C20" sqref="C20"/>
    </sheetView>
  </sheetViews>
  <sheetFormatPr baseColWidth="10" defaultColWidth="9.1640625" defaultRowHeight="15" x14ac:dyDescent="0.2"/>
  <cols>
    <col min="1" max="1" width="4" style="1" bestFit="1" customWidth="1"/>
    <col min="2" max="2" width="11.6640625" style="1" customWidth="1"/>
    <col min="3" max="3" width="45.6640625" style="1" customWidth="1"/>
    <col min="4" max="4" width="7.5" style="1" hidden="1" customWidth="1"/>
    <col min="5" max="5" width="35.6640625" style="1" customWidth="1"/>
    <col min="6" max="8" width="11" style="1" customWidth="1"/>
    <col min="9" max="16384" width="9.1640625" style="1"/>
  </cols>
  <sheetData>
    <row r="1" spans="1:9" x14ac:dyDescent="0.2">
      <c r="A1" s="299" t="s">
        <v>185</v>
      </c>
      <c r="B1" s="315" t="s">
        <v>356</v>
      </c>
    </row>
    <row r="2" spans="1:9" x14ac:dyDescent="0.2">
      <c r="B2" s="315" t="s">
        <v>185</v>
      </c>
    </row>
    <row r="3" spans="1:9" x14ac:dyDescent="0.2">
      <c r="B3" s="315" t="str">
        <f>INDEX(TabRef2[],MATCH($B$2,TabRef2[Column3],0),4)</f>
        <v>Mempunyai prestasi di bidang olahraga/ Humaniora</v>
      </c>
    </row>
    <row r="5" spans="1:9" x14ac:dyDescent="0.2">
      <c r="B5" s="285" t="s">
        <v>411</v>
      </c>
      <c r="C5" s="285" t="s">
        <v>761</v>
      </c>
      <c r="D5" s="285" t="s">
        <v>530</v>
      </c>
      <c r="E5" s="285" t="s">
        <v>756</v>
      </c>
      <c r="F5" s="285" t="s">
        <v>405</v>
      </c>
      <c r="G5" s="285" t="s">
        <v>12</v>
      </c>
      <c r="H5" s="285" t="s">
        <v>372</v>
      </c>
      <c r="I5" s="285" t="s">
        <v>536</v>
      </c>
    </row>
    <row r="6" spans="1:9" hidden="1" x14ac:dyDescent="0.2">
      <c r="B6" s="59" t="s">
        <v>722</v>
      </c>
      <c r="C6" s="59" t="s">
        <v>723</v>
      </c>
      <c r="D6" s="59" t="s">
        <v>724</v>
      </c>
      <c r="E6" s="59" t="s">
        <v>725</v>
      </c>
      <c r="F6" s="59" t="s">
        <v>726</v>
      </c>
      <c r="G6" s="59" t="s">
        <v>727</v>
      </c>
      <c r="H6" s="59" t="s">
        <v>728</v>
      </c>
      <c r="I6" s="59" t="s">
        <v>729</v>
      </c>
    </row>
    <row r="7" spans="1:9" ht="16" hidden="1" x14ac:dyDescent="0.2">
      <c r="B7" s="302"/>
      <c r="C7" s="303" t="s">
        <v>191</v>
      </c>
      <c r="D7" s="288" t="str">
        <f>INDEX(TabRef3[Column3],MATCH(Tab5I[[#This Row],[Col2]],TabRef3[Column4],0),1)</f>
        <v>V.I.2.</v>
      </c>
      <c r="E7" s="288"/>
      <c r="F7" s="289">
        <f>IF(AND(ISTEXT(Tab5I[[#This Row],[Col1]]),ISTEXT(Tab5I[[#This Row],[Col2]]),ISTEXT(Tab5I[[#This Row],[Col4]])),1,0)</f>
        <v>0</v>
      </c>
      <c r="G7" s="289">
        <f>IFERROR(Tab5I[[#This Row],[Col5]]*VLOOKUP(Tab5I[[#This Row],[Col3]],TabRef4[[Column1]:[Column5]],5,FALSE),0)</f>
        <v>0</v>
      </c>
      <c r="H7" s="304"/>
      <c r="I7" s="305"/>
    </row>
    <row r="8" spans="1:9" x14ac:dyDescent="0.2">
      <c r="B8" s="81"/>
      <c r="C8" s="82"/>
      <c r="D8" s="288" t="e">
        <f>INDEX(TabRef3[Column3],MATCH(Tab5I[[#This Row],[Col2]],TabRef3[Column4],0),1)</f>
        <v>#N/A</v>
      </c>
      <c r="E8" s="83"/>
      <c r="F8" s="289">
        <f>IF(AND(ISTEXT(Tab5I[[#This Row],[Col1]]),ISTEXT(Tab5I[[#This Row],[Col2]]),ISTEXT(Tab5I[[#This Row],[Col4]])),1,0)</f>
        <v>0</v>
      </c>
      <c r="G8" s="289">
        <f>IFERROR(Tab5I[[#This Row],[Col5]]*VLOOKUP(Tab5I[[#This Row],[Col3]],TabRef4[[Column1]:[Column5]],5,FALSE),0)</f>
        <v>0</v>
      </c>
      <c r="H8" s="85" t="s">
        <v>370</v>
      </c>
      <c r="I8" s="86"/>
    </row>
    <row r="9" spans="1:9" x14ac:dyDescent="0.2">
      <c r="B9" s="84" t="s">
        <v>533</v>
      </c>
    </row>
    <row r="11" spans="1:9" x14ac:dyDescent="0.2">
      <c r="E11" s="552"/>
      <c r="F11" s="554" t="s">
        <v>535</v>
      </c>
      <c r="G11" s="556"/>
      <c r="H11" s="556"/>
      <c r="I11" s="555"/>
    </row>
    <row r="12" spans="1:9" x14ac:dyDescent="0.2">
      <c r="E12" s="552"/>
      <c r="F12" s="552" t="s">
        <v>401</v>
      </c>
      <c r="G12" s="552"/>
      <c r="H12" s="554" t="s">
        <v>402</v>
      </c>
      <c r="I12" s="555"/>
    </row>
    <row r="13" spans="1:9" x14ac:dyDescent="0.2">
      <c r="E13" s="552"/>
      <c r="F13" s="284" t="s">
        <v>405</v>
      </c>
      <c r="G13" s="284" t="s">
        <v>12</v>
      </c>
      <c r="H13" s="284" t="s">
        <v>405</v>
      </c>
      <c r="I13" s="284" t="s">
        <v>12</v>
      </c>
    </row>
    <row r="14" spans="1:9" x14ac:dyDescent="0.2">
      <c r="E14" s="298" t="str">
        <f>TabelUtama!H3</f>
        <v>Semester 1</v>
      </c>
      <c r="F14" s="284">
        <f>SUMPRODUCT((Tab5I[Col1]=$E14)*(Tab5I[Col5]))</f>
        <v>0</v>
      </c>
      <c r="G14" s="284">
        <f>SUMPRODUCT((Tab5I[Col1]=$E14)*(Tab5I[Col6]))</f>
        <v>0</v>
      </c>
      <c r="H14" s="284">
        <f>SUMPRODUCT((Tab5I[Col1]=$E14)*(Tab5I[Col7]=Ya)*(Tab5I[Col5]))</f>
        <v>0</v>
      </c>
      <c r="I14" s="284">
        <f>SUMPRODUCT((Tab5I[Col1]=$E14)*(Tab5I[Col7]=Ya)*(Tab5I[Col6]))</f>
        <v>0</v>
      </c>
    </row>
    <row r="15" spans="1:9" x14ac:dyDescent="0.2">
      <c r="E15" s="298" t="str">
        <f>TabelUtama!H4</f>
        <v>Semester 2</v>
      </c>
      <c r="F15" s="284">
        <f>SUMPRODUCT((Tab5I[Col1]=$E15)*(Tab5I[Col5]))</f>
        <v>0</v>
      </c>
      <c r="G15" s="284">
        <f>SUMPRODUCT((Tab5I[Col1]=$E15)*(Tab5I[Col6]))</f>
        <v>0</v>
      </c>
      <c r="H15" s="284">
        <f>SUMPRODUCT((Tab5I[Col1]=$E15)*(Tab5I[Col7]=Ya)*(Tab5I[Col5]))</f>
        <v>0</v>
      </c>
      <c r="I15" s="284">
        <f>SUMPRODUCT((Tab5I[Col1]=$E15)*(Tab5I[Col7]=Ya)*(Tab5I[Col6]))</f>
        <v>0</v>
      </c>
    </row>
    <row r="16" spans="1:9" x14ac:dyDescent="0.2">
      <c r="E16" s="298" t="str">
        <f>TabelUtama!H5</f>
        <v>1 Tahun</v>
      </c>
      <c r="F16" s="284">
        <f>SUMPRODUCT((Tab5I[Col1]=$E16)*(Tab5I[Col5]))</f>
        <v>0</v>
      </c>
      <c r="G16" s="284">
        <f>SUMPRODUCT((Tab5I[Col1]=$E16)*(Tab5I[Col6]))</f>
        <v>0</v>
      </c>
      <c r="H16" s="284">
        <f>SUMPRODUCT((Tab5I[Col1]=$E16)*(Tab5I[Col7]=Ya)*(Tab5I[Col5]))</f>
        <v>0</v>
      </c>
      <c r="I16" s="284">
        <f>SUMPRODUCT((Tab5I[Col1]=$E16)*(Tab5I[Col7]=Ya)*(Tab5I[Col6]))</f>
        <v>0</v>
      </c>
    </row>
    <row r="18" spans="5:9" x14ac:dyDescent="0.2">
      <c r="E18" s="242" t="s">
        <v>721</v>
      </c>
      <c r="F18" s="241"/>
      <c r="G18" s="242"/>
      <c r="H18" s="242"/>
      <c r="I18" s="242"/>
    </row>
  </sheetData>
  <mergeCells count="4">
    <mergeCell ref="E11:E13"/>
    <mergeCell ref="F11:I11"/>
    <mergeCell ref="F12:G12"/>
    <mergeCell ref="H12:I12"/>
  </mergeCells>
  <dataValidations count="3">
    <dataValidation type="list" allowBlank="1" showInputMessage="1" showErrorMessage="1" sqref="B7:B8" xr:uid="{00000000-0002-0000-2F00-000000000000}">
      <formula1>TabutKalenderIsi</formula1>
    </dataValidation>
    <dataValidation type="list" allowBlank="1" showInputMessage="1" showErrorMessage="1" sqref="H7:H8" xr:uid="{00000000-0002-0000-2F00-000001000000}">
      <formula1>TabutPilihanIsi</formula1>
    </dataValidation>
    <dataValidation type="list" allowBlank="1" showInputMessage="1" showErrorMessage="1" sqref="C7:C8" xr:uid="{00000000-0002-0000-2F00-000002000000}">
      <formula1>OFFSET(_TabRef3_offset_head,MATCH($A$1,_TabRef3_offset_all,0)-1,3,COUNTIF(_TabRef3_offset_all,$A$1),1)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13"/>
  <sheetViews>
    <sheetView workbookViewId="0">
      <selection activeCell="H22" sqref="H22"/>
    </sheetView>
  </sheetViews>
  <sheetFormatPr baseColWidth="10" defaultColWidth="9.1640625" defaultRowHeight="15" x14ac:dyDescent="0.2"/>
  <cols>
    <col min="1" max="1" width="4.6640625" style="1" bestFit="1" customWidth="1"/>
    <col min="2" max="2" width="12.5" style="1" customWidth="1"/>
    <col min="3" max="3" width="44.5" style="1" customWidth="1"/>
    <col min="4" max="5" width="7.6640625" style="1" customWidth="1"/>
    <col min="6" max="6" width="11" style="1" customWidth="1"/>
    <col min="7" max="7" width="2.5" style="1" customWidth="1"/>
    <col min="8" max="8" width="14.83203125" style="1" customWidth="1"/>
    <col min="9" max="16384" width="9.1640625" style="1"/>
  </cols>
  <sheetData>
    <row r="1" spans="1:12" x14ac:dyDescent="0.2">
      <c r="A1" s="299" t="s">
        <v>189</v>
      </c>
      <c r="B1" s="315" t="s">
        <v>356</v>
      </c>
      <c r="C1" s="26"/>
      <c r="D1" s="27"/>
      <c r="E1" s="27"/>
      <c r="F1" s="27"/>
      <c r="G1" s="27"/>
    </row>
    <row r="2" spans="1:12" x14ac:dyDescent="0.2">
      <c r="B2" s="315" t="s">
        <v>189</v>
      </c>
      <c r="C2" s="26"/>
      <c r="D2" s="301"/>
      <c r="E2" s="301"/>
      <c r="F2" s="301"/>
      <c r="G2" s="301"/>
    </row>
    <row r="3" spans="1:12" x14ac:dyDescent="0.2">
      <c r="B3" s="315" t="str">
        <f>INDEX(TabRef2[],MATCH($B$2,TabRef2[Column3],0),4)</f>
        <v>Keanggotaan dalam tim penilai jabatan akademik dosen (tiap semester)</v>
      </c>
      <c r="C3" s="300"/>
      <c r="D3" s="300"/>
      <c r="E3" s="300"/>
      <c r="F3" s="300"/>
      <c r="G3" s="300"/>
    </row>
    <row r="5" spans="1:12" x14ac:dyDescent="0.2">
      <c r="B5" s="285" t="s">
        <v>411</v>
      </c>
      <c r="C5" s="285" t="s">
        <v>762</v>
      </c>
      <c r="D5" s="285" t="s">
        <v>405</v>
      </c>
      <c r="E5" s="285" t="s">
        <v>12</v>
      </c>
      <c r="F5" s="285" t="s">
        <v>372</v>
      </c>
      <c r="H5" s="243"/>
      <c r="I5" s="554" t="s">
        <v>535</v>
      </c>
      <c r="J5" s="556"/>
      <c r="K5" s="556"/>
      <c r="L5" s="555"/>
    </row>
    <row r="6" spans="1:12" ht="15" hidden="1" customHeight="1" x14ac:dyDescent="0.2">
      <c r="B6" s="316" t="s">
        <v>722</v>
      </c>
      <c r="C6" s="316" t="s">
        <v>723</v>
      </c>
      <c r="D6" s="316" t="s">
        <v>724</v>
      </c>
      <c r="E6" s="316" t="s">
        <v>725</v>
      </c>
      <c r="F6" s="316" t="s">
        <v>726</v>
      </c>
      <c r="H6" s="244"/>
      <c r="I6" s="284"/>
      <c r="J6" s="284"/>
      <c r="K6" s="284"/>
      <c r="L6" s="284"/>
    </row>
    <row r="7" spans="1:12" hidden="1" x14ac:dyDescent="0.2">
      <c r="B7" s="284"/>
      <c r="C7" s="251"/>
      <c r="D7" s="284">
        <f>IF(AND(ISTEXT(Tab5J[[#This Row],[Col1]]),ISTEXT(Tab5J[[#This Row],[Col2]])),1,0)</f>
        <v>0</v>
      </c>
      <c r="E7" s="284">
        <f>Tab5J[[#This Row],[Col3]]*VLOOKUP(VLOOKUP(A$1,TabRef3[],3,FALSE),TabRef4[],5,FALSE)</f>
        <v>0</v>
      </c>
      <c r="F7" s="284"/>
      <c r="H7" s="244"/>
      <c r="I7" s="284"/>
      <c r="J7" s="284"/>
      <c r="K7" s="284"/>
      <c r="L7" s="284"/>
    </row>
    <row r="8" spans="1:12" x14ac:dyDescent="0.2">
      <c r="B8" s="49"/>
      <c r="C8" s="22"/>
      <c r="D8" s="284">
        <f>IF(AND(ISTEXT(Tab5J[[#This Row],[Col1]]),ISTEXT(Tab5J[[#This Row],[Col2]])),1,0)</f>
        <v>0</v>
      </c>
      <c r="E8" s="284">
        <f>Tab5J[[#This Row],[Col3]]*VLOOKUP(VLOOKUP(A$1,TabRef3[],3,FALSE),TabRef4[],5,FALSE)</f>
        <v>0</v>
      </c>
      <c r="F8" s="49" t="s">
        <v>370</v>
      </c>
      <c r="H8" s="244"/>
      <c r="I8" s="552" t="s">
        <v>401</v>
      </c>
      <c r="J8" s="552"/>
      <c r="K8" s="552" t="s">
        <v>402</v>
      </c>
      <c r="L8" s="552"/>
    </row>
    <row r="9" spans="1:12" x14ac:dyDescent="0.2">
      <c r="H9" s="245"/>
      <c r="I9" s="284" t="s">
        <v>405</v>
      </c>
      <c r="J9" s="284" t="s">
        <v>12</v>
      </c>
      <c r="K9" s="284" t="s">
        <v>405</v>
      </c>
      <c r="L9" s="284" t="s">
        <v>12</v>
      </c>
    </row>
    <row r="10" spans="1:12" x14ac:dyDescent="0.2">
      <c r="H10" s="284" t="str">
        <f>TabelUtama!H3</f>
        <v>Semester 1</v>
      </c>
      <c r="I10" s="284">
        <f>SUMPRODUCT((Tab5J[Col1]=$H10)*(Tab5J[Col3]))</f>
        <v>0</v>
      </c>
      <c r="J10" s="284">
        <f>SUMPRODUCT((Tab5J[Col1]=$H10)*(Tab5J[Col4]))</f>
        <v>0</v>
      </c>
      <c r="K10" s="284">
        <f>SUMPRODUCT((Tab5J[Col1]=$H10)*(Tab5J[Col5]=Ya)*(Tab5J[Col3]))</f>
        <v>0</v>
      </c>
      <c r="L10" s="284">
        <f>SUMPRODUCT((Tab5J[Col1]=$H10)*(Tab5J[Col5]=Ya)*(Tab5J[Col4]))</f>
        <v>0</v>
      </c>
    </row>
    <row r="11" spans="1:12" x14ac:dyDescent="0.2">
      <c r="H11" s="284" t="str">
        <f>TabelUtama!H4</f>
        <v>Semester 2</v>
      </c>
      <c r="I11" s="284">
        <f>SUMPRODUCT((Tab5J[Col1]=$H11)*(Tab5J[Col3]))</f>
        <v>0</v>
      </c>
      <c r="J11" s="284">
        <f>SUMPRODUCT((Tab5J[Col1]=$H11)*(Tab5J[Col4]))</f>
        <v>0</v>
      </c>
      <c r="K11" s="284">
        <f>SUMPRODUCT((Tab5J[Col1]=$H11)*(Tab5J[Col5]=Ya)*(Tab5J[Col3]))</f>
        <v>0</v>
      </c>
      <c r="L11" s="284">
        <f>SUMPRODUCT((Tab5J[Col1]=$H11)*(Tab5J[Col5]=Ya)*(Tab5J[Col4]))</f>
        <v>0</v>
      </c>
    </row>
    <row r="13" spans="1:12" x14ac:dyDescent="0.2">
      <c r="H13" s="242" t="s">
        <v>721</v>
      </c>
      <c r="I13" s="241"/>
      <c r="J13" s="242"/>
      <c r="K13" s="242"/>
      <c r="L13" s="242"/>
    </row>
  </sheetData>
  <mergeCells count="3">
    <mergeCell ref="I5:L5"/>
    <mergeCell ref="I8:J8"/>
    <mergeCell ref="K8:L8"/>
  </mergeCells>
  <dataValidations count="2">
    <dataValidation type="list" allowBlank="1" showInputMessage="1" showErrorMessage="1" sqref="F7:F8" xr:uid="{00000000-0002-0000-3000-000000000000}">
      <formula1>TabutPilihanIsi</formula1>
    </dataValidation>
    <dataValidation type="list" allowBlank="1" showInputMessage="1" showErrorMessage="1" sqref="B7:B8" xr:uid="{00000000-0002-0000-3000-000001000000}">
      <formula1>TabutKalenderIsi</formula1>
    </dataValidation>
  </dataValidations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8225-B55E-1842-9EC8-E35E3ADB90F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50</vt:i4>
      </vt:variant>
      <vt:variant>
        <vt:lpstr>Named Ranges</vt:lpstr>
      </vt:variant>
      <vt:variant>
        <vt:i4>453</vt:i4>
      </vt:variant>
    </vt:vector>
  </HeadingPairs>
  <TitlesOfParts>
    <vt:vector size="503" baseType="lpstr">
      <vt:lpstr>ReferensiAk</vt:lpstr>
      <vt:lpstr>TabelUtama</vt:lpstr>
      <vt:lpstr>TabelReferensi</vt:lpstr>
      <vt:lpstr>TabelTurunan3</vt:lpstr>
      <vt:lpstr>Petunjuk Pengisian</vt:lpstr>
      <vt:lpstr>IDENTITAS dan TANGGAL PENETAPAN</vt:lpstr>
      <vt:lpstr>SKP</vt:lpstr>
      <vt:lpstr>PENGUKURAN</vt:lpstr>
      <vt:lpstr>PENILAIAN</vt:lpstr>
      <vt:lpstr>DataIndividu</vt:lpstr>
      <vt:lpstr>TabelUraian</vt:lpstr>
      <vt:lpstr>TabelTurunan</vt:lpstr>
      <vt:lpstr>TUBEL_PENGISIAN</vt:lpstr>
      <vt:lpstr>II.A.</vt:lpstr>
      <vt:lpstr>II.BC.</vt:lpstr>
      <vt:lpstr>II.DE.</vt:lpstr>
      <vt:lpstr>II.F.</vt:lpstr>
      <vt:lpstr>II.G.</vt:lpstr>
      <vt:lpstr>II.H.</vt:lpstr>
      <vt:lpstr>II.I.</vt:lpstr>
      <vt:lpstr>II.J.</vt:lpstr>
      <vt:lpstr>II.K.</vt:lpstr>
      <vt:lpstr>II.L.</vt:lpstr>
      <vt:lpstr>II.M.</vt:lpstr>
      <vt:lpstr>III.A.</vt:lpstr>
      <vt:lpstr>III.B.</vt:lpstr>
      <vt:lpstr>III.CDE.</vt:lpstr>
      <vt:lpstr>III.F.</vt:lpstr>
      <vt:lpstr>III.G.</vt:lpstr>
      <vt:lpstr>III.H.</vt:lpstr>
      <vt:lpstr>III.I.</vt:lpstr>
      <vt:lpstr>DefineName</vt:lpstr>
      <vt:lpstr>IV.A.</vt:lpstr>
      <vt:lpstr>IV.B.</vt:lpstr>
      <vt:lpstr>IV.C.</vt:lpstr>
      <vt:lpstr>IV.D.</vt:lpstr>
      <vt:lpstr>IV.E.</vt:lpstr>
      <vt:lpstr>IV.F.</vt:lpstr>
      <vt:lpstr>IV.G.</vt:lpstr>
      <vt:lpstr>V.A.</vt:lpstr>
      <vt:lpstr>V.B.</vt:lpstr>
      <vt:lpstr>V.C.</vt:lpstr>
      <vt:lpstr>V.D.</vt:lpstr>
      <vt:lpstr>V.E.</vt:lpstr>
      <vt:lpstr>V.F.</vt:lpstr>
      <vt:lpstr>V.G.</vt:lpstr>
      <vt:lpstr>V.H.</vt:lpstr>
      <vt:lpstr>V.I.</vt:lpstr>
      <vt:lpstr>V.J.</vt:lpstr>
      <vt:lpstr>Sheet1</vt:lpstr>
      <vt:lpstr>__2A1CJ</vt:lpstr>
      <vt:lpstr>__2A1CK</vt:lpstr>
      <vt:lpstr>__2A1TJ</vt:lpstr>
      <vt:lpstr>__2A1TK</vt:lpstr>
      <vt:lpstr>__2A2CJ</vt:lpstr>
      <vt:lpstr>__2A2CK</vt:lpstr>
      <vt:lpstr>__2A2TJ</vt:lpstr>
      <vt:lpstr>__2A2TK</vt:lpstr>
      <vt:lpstr>__2B1CJ</vt:lpstr>
      <vt:lpstr>__2B1CK</vt:lpstr>
      <vt:lpstr>__2B1TJ</vt:lpstr>
      <vt:lpstr>__2B1TK</vt:lpstr>
      <vt:lpstr>__2B2CJ</vt:lpstr>
      <vt:lpstr>__2B2CK</vt:lpstr>
      <vt:lpstr>__2B2TJ</vt:lpstr>
      <vt:lpstr>__2B2TK</vt:lpstr>
      <vt:lpstr>__2C1CJ</vt:lpstr>
      <vt:lpstr>__2C1CK</vt:lpstr>
      <vt:lpstr>__2C1TJ</vt:lpstr>
      <vt:lpstr>__2C1TK</vt:lpstr>
      <vt:lpstr>__2C2CJ</vt:lpstr>
      <vt:lpstr>__2C2CK</vt:lpstr>
      <vt:lpstr>__2C2TJ</vt:lpstr>
      <vt:lpstr>__2C2TK</vt:lpstr>
      <vt:lpstr>__2D1CJ</vt:lpstr>
      <vt:lpstr>__2D1CK</vt:lpstr>
      <vt:lpstr>__2D1TJ</vt:lpstr>
      <vt:lpstr>__2D1TK</vt:lpstr>
      <vt:lpstr>__2D2CJ</vt:lpstr>
      <vt:lpstr>__2D2CK</vt:lpstr>
      <vt:lpstr>__2D2TJ</vt:lpstr>
      <vt:lpstr>__2D2TK</vt:lpstr>
      <vt:lpstr>__2E1CJ</vt:lpstr>
      <vt:lpstr>__2E1CK</vt:lpstr>
      <vt:lpstr>__2E1TJ</vt:lpstr>
      <vt:lpstr>__2E1TK</vt:lpstr>
      <vt:lpstr>__2E2CJ</vt:lpstr>
      <vt:lpstr>__2E2CK</vt:lpstr>
      <vt:lpstr>__2E2TJ</vt:lpstr>
      <vt:lpstr>__2E2TK</vt:lpstr>
      <vt:lpstr>__2F1CJ</vt:lpstr>
      <vt:lpstr>__2F1CK</vt:lpstr>
      <vt:lpstr>__2F1TJ</vt:lpstr>
      <vt:lpstr>__2F1TK</vt:lpstr>
      <vt:lpstr>__2F2CJ</vt:lpstr>
      <vt:lpstr>__2F2CK</vt:lpstr>
      <vt:lpstr>__2F2TJ</vt:lpstr>
      <vt:lpstr>__2F2TK</vt:lpstr>
      <vt:lpstr>__2G1CJ</vt:lpstr>
      <vt:lpstr>__2G1CK</vt:lpstr>
      <vt:lpstr>__2G1TJ</vt:lpstr>
      <vt:lpstr>__2G1TK</vt:lpstr>
      <vt:lpstr>__2G2CJ</vt:lpstr>
      <vt:lpstr>__2G2CK</vt:lpstr>
      <vt:lpstr>__2G2TJ</vt:lpstr>
      <vt:lpstr>__2G2TK</vt:lpstr>
      <vt:lpstr>__2H12CJ</vt:lpstr>
      <vt:lpstr>__2H12CK</vt:lpstr>
      <vt:lpstr>__2H12TJ</vt:lpstr>
      <vt:lpstr>__2H12TK</vt:lpstr>
      <vt:lpstr>__2H1CJ</vt:lpstr>
      <vt:lpstr>__2H1CK</vt:lpstr>
      <vt:lpstr>__2H1TJ</vt:lpstr>
      <vt:lpstr>__2H1TK</vt:lpstr>
      <vt:lpstr>__2H2CJ</vt:lpstr>
      <vt:lpstr>__2H2CK</vt:lpstr>
      <vt:lpstr>__2H2TJ</vt:lpstr>
      <vt:lpstr>__2H2TK</vt:lpstr>
      <vt:lpstr>__2I1CJ</vt:lpstr>
      <vt:lpstr>__2I1CK</vt:lpstr>
      <vt:lpstr>__2I1TJ</vt:lpstr>
      <vt:lpstr>__2I1TK</vt:lpstr>
      <vt:lpstr>__2I2CJ</vt:lpstr>
      <vt:lpstr>__2I2CK</vt:lpstr>
      <vt:lpstr>__2I2TJ</vt:lpstr>
      <vt:lpstr>__2I2TK</vt:lpstr>
      <vt:lpstr>__2J1CJ</vt:lpstr>
      <vt:lpstr>__2J1CK</vt:lpstr>
      <vt:lpstr>__2J1TJ</vt:lpstr>
      <vt:lpstr>__2J1TK</vt:lpstr>
      <vt:lpstr>__2J2CJ</vt:lpstr>
      <vt:lpstr>__2J2CK</vt:lpstr>
      <vt:lpstr>__2J2TJ</vt:lpstr>
      <vt:lpstr>__2J2TK</vt:lpstr>
      <vt:lpstr>__2K1CJ</vt:lpstr>
      <vt:lpstr>__2K1CK</vt:lpstr>
      <vt:lpstr>__2K1TJ</vt:lpstr>
      <vt:lpstr>__2K1TK</vt:lpstr>
      <vt:lpstr>__2K2CJ</vt:lpstr>
      <vt:lpstr>__2K2CK</vt:lpstr>
      <vt:lpstr>__2K2TJ</vt:lpstr>
      <vt:lpstr>__2K2TK</vt:lpstr>
      <vt:lpstr>__2L1CJ</vt:lpstr>
      <vt:lpstr>__2L1CK</vt:lpstr>
      <vt:lpstr>__2L1TJ</vt:lpstr>
      <vt:lpstr>__2L1TK</vt:lpstr>
      <vt:lpstr>__2L2CJ</vt:lpstr>
      <vt:lpstr>__2L2CK</vt:lpstr>
      <vt:lpstr>__2L2TJ</vt:lpstr>
      <vt:lpstr>__2L2TK</vt:lpstr>
      <vt:lpstr>__2M1CJ</vt:lpstr>
      <vt:lpstr>__2M1CK</vt:lpstr>
      <vt:lpstr>__2M1TJ</vt:lpstr>
      <vt:lpstr>__2M1TK</vt:lpstr>
      <vt:lpstr>__2M2CJ</vt:lpstr>
      <vt:lpstr>__2M2CK</vt:lpstr>
      <vt:lpstr>__2M2TJ</vt:lpstr>
      <vt:lpstr>__2M2TK</vt:lpstr>
      <vt:lpstr>__3A12CJ</vt:lpstr>
      <vt:lpstr>__3A12CK</vt:lpstr>
      <vt:lpstr>__3A12TJ</vt:lpstr>
      <vt:lpstr>__3A12TK</vt:lpstr>
      <vt:lpstr>__3A1CJ</vt:lpstr>
      <vt:lpstr>__3A1CK</vt:lpstr>
      <vt:lpstr>__3A1TJ</vt:lpstr>
      <vt:lpstr>__3A1TK</vt:lpstr>
      <vt:lpstr>__3A2CJ</vt:lpstr>
      <vt:lpstr>__3A2CK</vt:lpstr>
      <vt:lpstr>__3A2TJ</vt:lpstr>
      <vt:lpstr>__3A2TK</vt:lpstr>
      <vt:lpstr>__3B12CJ</vt:lpstr>
      <vt:lpstr>__3B12CK</vt:lpstr>
      <vt:lpstr>__3B12TJ</vt:lpstr>
      <vt:lpstr>__3B12TK</vt:lpstr>
      <vt:lpstr>__3B1CJ</vt:lpstr>
      <vt:lpstr>__3B1CK</vt:lpstr>
      <vt:lpstr>__3B1TJ</vt:lpstr>
      <vt:lpstr>__3B1TK</vt:lpstr>
      <vt:lpstr>__3B2CJ</vt:lpstr>
      <vt:lpstr>__3B2CK</vt:lpstr>
      <vt:lpstr>__3B2TJ</vt:lpstr>
      <vt:lpstr>__3B2TK</vt:lpstr>
      <vt:lpstr>__3C12CJ</vt:lpstr>
      <vt:lpstr>__3C12CK</vt:lpstr>
      <vt:lpstr>__3C12TJ</vt:lpstr>
      <vt:lpstr>__3C12TK</vt:lpstr>
      <vt:lpstr>__3C1CJ</vt:lpstr>
      <vt:lpstr>__3C1CK</vt:lpstr>
      <vt:lpstr>__3C1TJ</vt:lpstr>
      <vt:lpstr>__3C1TK</vt:lpstr>
      <vt:lpstr>__3C2CJ</vt:lpstr>
      <vt:lpstr>__3C2CK</vt:lpstr>
      <vt:lpstr>__3C2TJ</vt:lpstr>
      <vt:lpstr>__3C2TK</vt:lpstr>
      <vt:lpstr>__3D12CJ</vt:lpstr>
      <vt:lpstr>__3D12CK</vt:lpstr>
      <vt:lpstr>__3D12TJ</vt:lpstr>
      <vt:lpstr>__3D12TK</vt:lpstr>
      <vt:lpstr>__3D1CJ</vt:lpstr>
      <vt:lpstr>__3D1CK</vt:lpstr>
      <vt:lpstr>__3D1TJ</vt:lpstr>
      <vt:lpstr>__3D1TK</vt:lpstr>
      <vt:lpstr>__3D2CJ</vt:lpstr>
      <vt:lpstr>__3D2CK</vt:lpstr>
      <vt:lpstr>__3D2TJ</vt:lpstr>
      <vt:lpstr>__3D2TK</vt:lpstr>
      <vt:lpstr>__3E12CJ</vt:lpstr>
      <vt:lpstr>__3E12CK</vt:lpstr>
      <vt:lpstr>__3E12TJ</vt:lpstr>
      <vt:lpstr>__3E12TK</vt:lpstr>
      <vt:lpstr>__3E1CJ</vt:lpstr>
      <vt:lpstr>__3E1CK</vt:lpstr>
      <vt:lpstr>__3E1TJ</vt:lpstr>
      <vt:lpstr>__3E1TK</vt:lpstr>
      <vt:lpstr>__3E2CJ</vt:lpstr>
      <vt:lpstr>__3E2CK</vt:lpstr>
      <vt:lpstr>__3E2TJ</vt:lpstr>
      <vt:lpstr>__3E2TK</vt:lpstr>
      <vt:lpstr>__3F12CJ</vt:lpstr>
      <vt:lpstr>__3F12CK</vt:lpstr>
      <vt:lpstr>__3F12TJ</vt:lpstr>
      <vt:lpstr>__3F12TK</vt:lpstr>
      <vt:lpstr>__3F1CJ</vt:lpstr>
      <vt:lpstr>__3F1CK</vt:lpstr>
      <vt:lpstr>__3F1TJ</vt:lpstr>
      <vt:lpstr>__3F1TK</vt:lpstr>
      <vt:lpstr>__3F2CJ</vt:lpstr>
      <vt:lpstr>__3F2CK</vt:lpstr>
      <vt:lpstr>__3F2TJ</vt:lpstr>
      <vt:lpstr>__3F2TK</vt:lpstr>
      <vt:lpstr>__3G12CJ</vt:lpstr>
      <vt:lpstr>__3G12CK</vt:lpstr>
      <vt:lpstr>__3G12TJ</vt:lpstr>
      <vt:lpstr>__3G12TK</vt:lpstr>
      <vt:lpstr>__3G1CJ</vt:lpstr>
      <vt:lpstr>__3G1CK</vt:lpstr>
      <vt:lpstr>__3G1TJ</vt:lpstr>
      <vt:lpstr>__3G1TK</vt:lpstr>
      <vt:lpstr>__3G2CJ</vt:lpstr>
      <vt:lpstr>__3G2CK</vt:lpstr>
      <vt:lpstr>__3G2TJ</vt:lpstr>
      <vt:lpstr>__3G2TK</vt:lpstr>
      <vt:lpstr>__3H12CJ</vt:lpstr>
      <vt:lpstr>__3H12CK</vt:lpstr>
      <vt:lpstr>__3H12TJ</vt:lpstr>
      <vt:lpstr>__3H12TK</vt:lpstr>
      <vt:lpstr>__3H1CJ</vt:lpstr>
      <vt:lpstr>__3H1CK</vt:lpstr>
      <vt:lpstr>__3H1TJ</vt:lpstr>
      <vt:lpstr>__3H1TK</vt:lpstr>
      <vt:lpstr>__3H2CJ</vt:lpstr>
      <vt:lpstr>__3H2CK</vt:lpstr>
      <vt:lpstr>__3H2TJ</vt:lpstr>
      <vt:lpstr>__3H2TK</vt:lpstr>
      <vt:lpstr>__3I12CJ</vt:lpstr>
      <vt:lpstr>__3I12CK</vt:lpstr>
      <vt:lpstr>__3I12TJ</vt:lpstr>
      <vt:lpstr>__3I12TK</vt:lpstr>
      <vt:lpstr>__3I1CJ</vt:lpstr>
      <vt:lpstr>__3I1CK</vt:lpstr>
      <vt:lpstr>__3I1TJ</vt:lpstr>
      <vt:lpstr>__3I1TK</vt:lpstr>
      <vt:lpstr>__3I2CJ</vt:lpstr>
      <vt:lpstr>__3I2CK</vt:lpstr>
      <vt:lpstr>__3I2TJ</vt:lpstr>
      <vt:lpstr>__3I2TK</vt:lpstr>
      <vt:lpstr>__4A1CJ</vt:lpstr>
      <vt:lpstr>__4A1CK</vt:lpstr>
      <vt:lpstr>__4A1TJ</vt:lpstr>
      <vt:lpstr>__4A1TK</vt:lpstr>
      <vt:lpstr>__4A2CJ</vt:lpstr>
      <vt:lpstr>__4A2CK</vt:lpstr>
      <vt:lpstr>__4A2TJ</vt:lpstr>
      <vt:lpstr>__4A2TK</vt:lpstr>
      <vt:lpstr>__4B1CJ</vt:lpstr>
      <vt:lpstr>__4B1CK</vt:lpstr>
      <vt:lpstr>__4B1TJ</vt:lpstr>
      <vt:lpstr>__4B1TK</vt:lpstr>
      <vt:lpstr>__4B2CJ</vt:lpstr>
      <vt:lpstr>__4B2CK</vt:lpstr>
      <vt:lpstr>__4B2TJ</vt:lpstr>
      <vt:lpstr>__4B2TK</vt:lpstr>
      <vt:lpstr>__4C12CJ</vt:lpstr>
      <vt:lpstr>__4C12CK</vt:lpstr>
      <vt:lpstr>__4C12TJ</vt:lpstr>
      <vt:lpstr>__4C12TK</vt:lpstr>
      <vt:lpstr>__4C1CJ</vt:lpstr>
      <vt:lpstr>__4C1CK</vt:lpstr>
      <vt:lpstr>__4C1TJ</vt:lpstr>
      <vt:lpstr>__4C1TK</vt:lpstr>
      <vt:lpstr>__4C2CJ</vt:lpstr>
      <vt:lpstr>__4C2CK</vt:lpstr>
      <vt:lpstr>__4C2TJ</vt:lpstr>
      <vt:lpstr>__4C2TK</vt:lpstr>
      <vt:lpstr>__4D12CJ</vt:lpstr>
      <vt:lpstr>__4D12CK</vt:lpstr>
      <vt:lpstr>__4D12TJ</vt:lpstr>
      <vt:lpstr>__4D12TK</vt:lpstr>
      <vt:lpstr>__4D1CJ</vt:lpstr>
      <vt:lpstr>__4D1CK</vt:lpstr>
      <vt:lpstr>__4D1TJ</vt:lpstr>
      <vt:lpstr>__4D1TK</vt:lpstr>
      <vt:lpstr>__4D2CJ</vt:lpstr>
      <vt:lpstr>__4D2CK</vt:lpstr>
      <vt:lpstr>__4D2TJ</vt:lpstr>
      <vt:lpstr>__4D2TK</vt:lpstr>
      <vt:lpstr>__4E1CJ</vt:lpstr>
      <vt:lpstr>__4E1CK</vt:lpstr>
      <vt:lpstr>__4E1TJ</vt:lpstr>
      <vt:lpstr>__4E1TK</vt:lpstr>
      <vt:lpstr>__4E2CJ</vt:lpstr>
      <vt:lpstr>__4E2CK</vt:lpstr>
      <vt:lpstr>__4E2TJ</vt:lpstr>
      <vt:lpstr>__4E2TK</vt:lpstr>
      <vt:lpstr>__4F1CJ</vt:lpstr>
      <vt:lpstr>__4F1CK</vt:lpstr>
      <vt:lpstr>__4F1TJ</vt:lpstr>
      <vt:lpstr>__4F1TK</vt:lpstr>
      <vt:lpstr>__4F2CJ</vt:lpstr>
      <vt:lpstr>__4F2CK</vt:lpstr>
      <vt:lpstr>__4F2TJ</vt:lpstr>
      <vt:lpstr>__4F2TK</vt:lpstr>
      <vt:lpstr>__4G12CJ</vt:lpstr>
      <vt:lpstr>__4G12CK</vt:lpstr>
      <vt:lpstr>__4G12TJ</vt:lpstr>
      <vt:lpstr>__4G12TK</vt:lpstr>
      <vt:lpstr>__4G1CJ</vt:lpstr>
      <vt:lpstr>__4G1CK</vt:lpstr>
      <vt:lpstr>__4G1TJ</vt:lpstr>
      <vt:lpstr>__4G1TK</vt:lpstr>
      <vt:lpstr>__4G2CJ</vt:lpstr>
      <vt:lpstr>__4G2CK</vt:lpstr>
      <vt:lpstr>__4G2TJ</vt:lpstr>
      <vt:lpstr>__4G2TK</vt:lpstr>
      <vt:lpstr>__5A12CJ</vt:lpstr>
      <vt:lpstr>__5A12CK</vt:lpstr>
      <vt:lpstr>__5A12TJ</vt:lpstr>
      <vt:lpstr>__5A12TK</vt:lpstr>
      <vt:lpstr>__5A1CJ</vt:lpstr>
      <vt:lpstr>__5A1CK</vt:lpstr>
      <vt:lpstr>__5A1TJ</vt:lpstr>
      <vt:lpstr>__5A1TK</vt:lpstr>
      <vt:lpstr>__5A2CJ</vt:lpstr>
      <vt:lpstr>__5A2CK</vt:lpstr>
      <vt:lpstr>__5A2TJ</vt:lpstr>
      <vt:lpstr>__5A2TK</vt:lpstr>
      <vt:lpstr>__5B12CJ</vt:lpstr>
      <vt:lpstr>__5B12CK</vt:lpstr>
      <vt:lpstr>__5B12TJ</vt:lpstr>
      <vt:lpstr>__5B12TK</vt:lpstr>
      <vt:lpstr>__5B1CJ</vt:lpstr>
      <vt:lpstr>__5B1CK</vt:lpstr>
      <vt:lpstr>__5B1TJ</vt:lpstr>
      <vt:lpstr>__5B1TK</vt:lpstr>
      <vt:lpstr>__5B2CJ</vt:lpstr>
      <vt:lpstr>__5B2CK</vt:lpstr>
      <vt:lpstr>__5B2TJ</vt:lpstr>
      <vt:lpstr>__5B2TK</vt:lpstr>
      <vt:lpstr>__5C12CJ</vt:lpstr>
      <vt:lpstr>__5C12CK</vt:lpstr>
      <vt:lpstr>__5C12TJ</vt:lpstr>
      <vt:lpstr>__5C12TK</vt:lpstr>
      <vt:lpstr>__5C1CJ</vt:lpstr>
      <vt:lpstr>__5C1CK</vt:lpstr>
      <vt:lpstr>__5C1TJ</vt:lpstr>
      <vt:lpstr>__5C1TK</vt:lpstr>
      <vt:lpstr>__5C2CJ</vt:lpstr>
      <vt:lpstr>__5C2CK</vt:lpstr>
      <vt:lpstr>__5C2TJ</vt:lpstr>
      <vt:lpstr>__5C2TK</vt:lpstr>
      <vt:lpstr>__5D1CJ</vt:lpstr>
      <vt:lpstr>__5D1CK</vt:lpstr>
      <vt:lpstr>__5D1TJ</vt:lpstr>
      <vt:lpstr>__5D1TK</vt:lpstr>
      <vt:lpstr>__5D2CJ</vt:lpstr>
      <vt:lpstr>__5D2CK</vt:lpstr>
      <vt:lpstr>__5D2TJ</vt:lpstr>
      <vt:lpstr>__5D2TK</vt:lpstr>
      <vt:lpstr>__5E12CJ</vt:lpstr>
      <vt:lpstr>__5E12CK</vt:lpstr>
      <vt:lpstr>__5E12TJ</vt:lpstr>
      <vt:lpstr>__5E12TK</vt:lpstr>
      <vt:lpstr>__5E1CJ</vt:lpstr>
      <vt:lpstr>__5E1CK</vt:lpstr>
      <vt:lpstr>__5E1TJ</vt:lpstr>
      <vt:lpstr>__5E1TK</vt:lpstr>
      <vt:lpstr>__5E2CJ</vt:lpstr>
      <vt:lpstr>__5E2CK</vt:lpstr>
      <vt:lpstr>__5E2TJ</vt:lpstr>
      <vt:lpstr>__5E2TK</vt:lpstr>
      <vt:lpstr>__5F1CJ</vt:lpstr>
      <vt:lpstr>__5F1CK</vt:lpstr>
      <vt:lpstr>__5F1TJ</vt:lpstr>
      <vt:lpstr>__5F1TK</vt:lpstr>
      <vt:lpstr>__5F2CJ</vt:lpstr>
      <vt:lpstr>__5F2CK</vt:lpstr>
      <vt:lpstr>__5F2TJ</vt:lpstr>
      <vt:lpstr>__5F2TK</vt:lpstr>
      <vt:lpstr>__5G1CJ</vt:lpstr>
      <vt:lpstr>__5G1CK</vt:lpstr>
      <vt:lpstr>__5G1TJ</vt:lpstr>
      <vt:lpstr>__5G1TK</vt:lpstr>
      <vt:lpstr>__5G2CJ</vt:lpstr>
      <vt:lpstr>__5G2CK</vt:lpstr>
      <vt:lpstr>__5G2TJ</vt:lpstr>
      <vt:lpstr>__5G2TK</vt:lpstr>
      <vt:lpstr>__5H1CJ</vt:lpstr>
      <vt:lpstr>__5H1CK</vt:lpstr>
      <vt:lpstr>__5H1TJ</vt:lpstr>
      <vt:lpstr>__5H1TK</vt:lpstr>
      <vt:lpstr>__5H2CJ</vt:lpstr>
      <vt:lpstr>__5H2CK</vt:lpstr>
      <vt:lpstr>__5H2TJ</vt:lpstr>
      <vt:lpstr>__5H2TK</vt:lpstr>
      <vt:lpstr>__5I1CJ</vt:lpstr>
      <vt:lpstr>__5I1CK</vt:lpstr>
      <vt:lpstr>__5I1TJ</vt:lpstr>
      <vt:lpstr>__5I1TK</vt:lpstr>
      <vt:lpstr>__5I2CJ</vt:lpstr>
      <vt:lpstr>__5I2CK</vt:lpstr>
      <vt:lpstr>__5I2TJ</vt:lpstr>
      <vt:lpstr>__5I2TK</vt:lpstr>
      <vt:lpstr>__5J1CJ</vt:lpstr>
      <vt:lpstr>__5J1CK</vt:lpstr>
      <vt:lpstr>__5J1TJ</vt:lpstr>
      <vt:lpstr>__5J1TK</vt:lpstr>
      <vt:lpstr>__5J2CJ</vt:lpstr>
      <vt:lpstr>__5J2CK</vt:lpstr>
      <vt:lpstr>__5J2TJ</vt:lpstr>
      <vt:lpstr>__5J2TK</vt:lpstr>
      <vt:lpstr>__identitas_jangka_waktu</vt:lpstr>
      <vt:lpstr>__identitas_tgl_capaian</vt:lpstr>
      <vt:lpstr>__identitas_tgl_pejabat</vt:lpstr>
      <vt:lpstr>__identitas_tgl_penilai</vt:lpstr>
      <vt:lpstr>__identitas_tgl_pns</vt:lpstr>
      <vt:lpstr>__identitas_tgl_skp</vt:lpstr>
      <vt:lpstr>__identitas_unit_kerja</vt:lpstr>
      <vt:lpstr>__pejabat_jabatan</vt:lpstr>
      <vt:lpstr>__pejabat_nama</vt:lpstr>
      <vt:lpstr>__pejabat_nip</vt:lpstr>
      <vt:lpstr>__pejabat_pangkat</vt:lpstr>
      <vt:lpstr>__pejabat_unit</vt:lpstr>
      <vt:lpstr>__pengukuran_final</vt:lpstr>
      <vt:lpstr>__pengukuran_final_tubel</vt:lpstr>
      <vt:lpstr>__pengukuran_kreativitas</vt:lpstr>
      <vt:lpstr>__pengukuran_tugas_tambahan</vt:lpstr>
      <vt:lpstr>__penilai_jabatan</vt:lpstr>
      <vt:lpstr>__penilai_nama</vt:lpstr>
      <vt:lpstr>__penilai_nip</vt:lpstr>
      <vt:lpstr>__penilai_pangkat</vt:lpstr>
      <vt:lpstr>__penilai_unit</vt:lpstr>
      <vt:lpstr>__pns_ipk</vt:lpstr>
      <vt:lpstr>__pns_jabatan</vt:lpstr>
      <vt:lpstr>__pns_kedudukan</vt:lpstr>
      <vt:lpstr>__pns_nama</vt:lpstr>
      <vt:lpstr>__pns_nip</vt:lpstr>
      <vt:lpstr>__pns_pangkat</vt:lpstr>
      <vt:lpstr>__pns_pendidikan</vt:lpstr>
      <vt:lpstr>__pns_unit</vt:lpstr>
      <vt:lpstr>_1A1_jabatan</vt:lpstr>
      <vt:lpstr>_1A2_pendidikan</vt:lpstr>
      <vt:lpstr>_1BC1_kegiatan</vt:lpstr>
      <vt:lpstr>_2A1_diploma</vt:lpstr>
      <vt:lpstr>_2A1_doktoral</vt:lpstr>
      <vt:lpstr>_2A1_jabatan</vt:lpstr>
      <vt:lpstr>_2A1_magister</vt:lpstr>
      <vt:lpstr>_2A1_pendidikan</vt:lpstr>
      <vt:lpstr>_2A1_sarjana</vt:lpstr>
      <vt:lpstr>_3_region_all</vt:lpstr>
      <vt:lpstr>_3_region_all2</vt:lpstr>
      <vt:lpstr>_3_region_head</vt:lpstr>
      <vt:lpstr>_3_region_head2</vt:lpstr>
      <vt:lpstr>_3Sub_region_all</vt:lpstr>
      <vt:lpstr>_3Sub_region_head</vt:lpstr>
      <vt:lpstr>_TabRef3_offset_all</vt:lpstr>
      <vt:lpstr>_TabRef3_offset_head</vt:lpstr>
      <vt:lpstr>_TabRef4_offset_all</vt:lpstr>
      <vt:lpstr>_TabRef4_offset_head</vt:lpstr>
      <vt:lpstr>_TabTurTubel</vt:lpstr>
      <vt:lpstr>DikNext</vt:lpstr>
      <vt:lpstr>DikNow</vt:lpstr>
      <vt:lpstr>dsd</vt:lpstr>
      <vt:lpstr>JabNext</vt:lpstr>
      <vt:lpstr>JabNow</vt:lpstr>
      <vt:lpstr>PENGUKURAN!Print_Area</vt:lpstr>
      <vt:lpstr>PENILAIAN!Print_Area</vt:lpstr>
      <vt:lpstr>SKP!Print_Area</vt:lpstr>
      <vt:lpstr>TaburUraian</vt:lpstr>
      <vt:lpstr>TabutBahanAjarIsi</vt:lpstr>
      <vt:lpstr>TabutBimbinganIsi</vt:lpstr>
      <vt:lpstr>TabutDetaseringIsi</vt:lpstr>
      <vt:lpstr>TabutJabatanIsi</vt:lpstr>
      <vt:lpstr>TabutKalenderIsi</vt:lpstr>
      <vt:lpstr>TabutKedudukanIsi</vt:lpstr>
      <vt:lpstr>TabutKepangkatanIsi</vt:lpstr>
      <vt:lpstr>TabutPembimbingIsi</vt:lpstr>
      <vt:lpstr>TabutPencangkokanIsi</vt:lpstr>
      <vt:lpstr>TabutPendidikanIsi</vt:lpstr>
      <vt:lpstr>TabutPengujiIsi</vt:lpstr>
      <vt:lpstr>TabutPilihanIsi</vt:lpstr>
      <vt:lpstr>TabutProdiIsi</vt:lpstr>
      <vt:lpstr>TabutStrukturalIsi</vt:lpstr>
      <vt:lpstr>Ya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Formulir PPK PNS</dc:title>
  <dc:creator>Tim HKT LLDIKTI Wilayah VII</dc:creator>
  <cp:lastModifiedBy>Rosita Yanuarti</cp:lastModifiedBy>
  <cp:lastPrinted>2024-01-09T05:56:46Z</cp:lastPrinted>
  <dcterms:created xsi:type="dcterms:W3CDTF">2019-10-31T16:57:41Z</dcterms:created>
  <dcterms:modified xsi:type="dcterms:W3CDTF">2024-01-09T05:59:53Z</dcterms:modified>
  <cp:category>Kinerja Pegawai</cp:category>
</cp:coreProperties>
</file>